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kong_choon_onn_csa_gov_sg/Documents/Documents/1.CISOaaS/[1b] ADS and pricing(update websites)/1. CSA website pricing info/20260930/"/>
    </mc:Choice>
  </mc:AlternateContent>
  <xr:revisionPtr revIDLastSave="134" documentId="8_{731A1FBA-37E4-488B-8D5B-C688D93E2EDF}" xr6:coauthVersionLast="47" xr6:coauthVersionMax="47" xr10:uidLastSave="{0FB6791C-33FB-4589-88AD-D4106EF0C5AE}"/>
  <workbookProtection workbookAlgorithmName="SHA-512" workbookHashValue="K4Hoo33aRdK0KS+7uSoR1AV1YPbXJbQlioXO9cfHLGD+V0qS2vTsyVZg8kB/Pc/zpPnaca2FI3Gxl9mXQ+6Cdw==" workbookSaltValue="389npY/oZyLmSNKjbC6WYg==" workbookSpinCount="100000" lockStructure="1"/>
  <bookViews>
    <workbookView xWindow="-120" yWindow="-16320" windowWidth="29040" windowHeight="15720" xr2:uid="{21BFA306-9EB9-428F-9F0F-7E42E5818776}"/>
  </bookViews>
  <sheets>
    <sheet name="CISOaaS (HIA &amp; HIMS)" sheetId="1" r:id="rId1"/>
  </sheets>
  <definedNames>
    <definedName name="_xlnm._FilterDatabase" localSheetId="0" hidden="1">'CISOaaS (HIA &amp; HIMS)'!$F$8:$F$120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1" l="1"/>
  <c r="H54" i="1"/>
  <c r="J53" i="1"/>
  <c r="H53" i="1"/>
  <c r="J52" i="1"/>
  <c r="H52" i="1"/>
  <c r="J51" i="1"/>
  <c r="H51" i="1"/>
  <c r="J50" i="1"/>
  <c r="H50" i="1"/>
  <c r="J49" i="1"/>
  <c r="H49" i="1"/>
  <c r="J94" i="1"/>
  <c r="H94" i="1"/>
  <c r="J93" i="1"/>
  <c r="H93" i="1"/>
  <c r="J92" i="1"/>
  <c r="H92" i="1"/>
  <c r="J91" i="1"/>
  <c r="H91" i="1"/>
  <c r="J90" i="1"/>
  <c r="H90" i="1"/>
  <c r="J89" i="1"/>
  <c r="H89" i="1"/>
  <c r="J86" i="1"/>
  <c r="H86" i="1"/>
  <c r="J85" i="1"/>
  <c r="H85" i="1"/>
  <c r="J84" i="1"/>
  <c r="H84" i="1"/>
  <c r="J83" i="1"/>
  <c r="H83" i="1"/>
  <c r="J82" i="1"/>
  <c r="H82" i="1"/>
  <c r="J81" i="1"/>
  <c r="H81" i="1"/>
  <c r="J57" i="1"/>
  <c r="J58" i="1"/>
  <c r="J59" i="1"/>
  <c r="J60" i="1"/>
  <c r="J61" i="1"/>
  <c r="J62" i="1"/>
  <c r="H57" i="1"/>
  <c r="H58" i="1"/>
  <c r="H59" i="1"/>
  <c r="H60" i="1"/>
  <c r="H61" i="1"/>
  <c r="H62" i="1"/>
  <c r="H137" i="1" l="1"/>
  <c r="H138" i="1"/>
  <c r="H139" i="1"/>
  <c r="H140" i="1"/>
  <c r="H141" i="1"/>
  <c r="H142" i="1"/>
  <c r="J134" i="1"/>
  <c r="H134" i="1"/>
  <c r="J133" i="1"/>
  <c r="H133" i="1"/>
  <c r="J132" i="1"/>
  <c r="H132" i="1"/>
  <c r="J131" i="1"/>
  <c r="H131" i="1"/>
  <c r="J130" i="1"/>
  <c r="H130" i="1"/>
  <c r="J129" i="1"/>
  <c r="H129" i="1"/>
  <c r="H105" i="1" l="1"/>
  <c r="J33" i="1"/>
  <c r="J34" i="1"/>
  <c r="J35" i="1"/>
  <c r="J36" i="1"/>
  <c r="J37" i="1"/>
  <c r="J38" i="1"/>
  <c r="H33" i="1"/>
  <c r="H34" i="1"/>
  <c r="H35" i="1"/>
  <c r="H36" i="1"/>
  <c r="H37" i="1"/>
  <c r="H38" i="1"/>
  <c r="J121" i="1"/>
  <c r="J122" i="1"/>
  <c r="J123" i="1"/>
  <c r="J124" i="1"/>
  <c r="J125" i="1"/>
  <c r="J126" i="1"/>
  <c r="H121" i="1"/>
  <c r="H122" i="1"/>
  <c r="H123" i="1"/>
  <c r="H124" i="1"/>
  <c r="H125" i="1"/>
  <c r="H126" i="1"/>
  <c r="J41" i="1" l="1"/>
  <c r="H41" i="1"/>
  <c r="H113" i="1" l="1"/>
  <c r="J113" i="1"/>
  <c r="H114" i="1"/>
  <c r="J114" i="1"/>
  <c r="H115" i="1"/>
  <c r="J115" i="1"/>
  <c r="H116" i="1"/>
  <c r="J116" i="1"/>
  <c r="H117" i="1"/>
  <c r="J117" i="1"/>
  <c r="H118" i="1"/>
  <c r="J118" i="1"/>
  <c r="J110" i="1"/>
  <c r="H110" i="1"/>
  <c r="J109" i="1"/>
  <c r="H109" i="1"/>
  <c r="J108" i="1"/>
  <c r="H108" i="1"/>
  <c r="J107" i="1"/>
  <c r="H107" i="1"/>
  <c r="J106" i="1"/>
  <c r="H106" i="1"/>
  <c r="J105" i="1"/>
  <c r="J102" i="1"/>
  <c r="H102" i="1"/>
  <c r="J101" i="1"/>
  <c r="H101" i="1"/>
  <c r="J100" i="1"/>
  <c r="H100" i="1"/>
  <c r="J99" i="1"/>
  <c r="H99" i="1"/>
  <c r="J98" i="1"/>
  <c r="H98" i="1"/>
  <c r="J97" i="1"/>
  <c r="H97" i="1"/>
  <c r="J30" i="1"/>
  <c r="H30" i="1"/>
  <c r="J29" i="1"/>
  <c r="H29" i="1"/>
  <c r="J28" i="1"/>
  <c r="H28" i="1"/>
  <c r="J27" i="1"/>
  <c r="H27" i="1"/>
  <c r="J26" i="1"/>
  <c r="H26" i="1"/>
  <c r="J25" i="1"/>
  <c r="H25" i="1"/>
  <c r="J14" i="1"/>
  <c r="H14" i="1"/>
  <c r="J13" i="1"/>
  <c r="H13" i="1"/>
  <c r="J12" i="1"/>
  <c r="H12" i="1"/>
  <c r="J11" i="1"/>
  <c r="H11" i="1"/>
  <c r="J10" i="1"/>
  <c r="H10" i="1"/>
  <c r="J9" i="1"/>
  <c r="H9" i="1"/>
  <c r="J73" i="1" l="1"/>
  <c r="J74" i="1"/>
  <c r="J75" i="1"/>
  <c r="J76" i="1"/>
  <c r="J77" i="1"/>
  <c r="J78" i="1"/>
  <c r="H73" i="1"/>
  <c r="H74" i="1"/>
  <c r="H75" i="1"/>
  <c r="H76" i="1"/>
  <c r="H77" i="1"/>
  <c r="H78" i="1"/>
  <c r="J70" i="1"/>
  <c r="J69" i="1"/>
  <c r="J68" i="1"/>
  <c r="J67" i="1"/>
  <c r="J66" i="1"/>
  <c r="J65" i="1"/>
  <c r="H65" i="1"/>
  <c r="H66" i="1"/>
  <c r="H67" i="1"/>
  <c r="H68" i="1"/>
  <c r="H69" i="1"/>
  <c r="H70" i="1"/>
  <c r="J42" i="1"/>
  <c r="J43" i="1"/>
  <c r="J44" i="1"/>
  <c r="J45" i="1"/>
  <c r="J46" i="1"/>
  <c r="H42" i="1"/>
  <c r="H43" i="1"/>
  <c r="H44" i="1"/>
  <c r="H45" i="1"/>
  <c r="H46" i="1"/>
  <c r="J22" i="1"/>
  <c r="H22" i="1"/>
  <c r="J21" i="1"/>
  <c r="H21" i="1"/>
  <c r="J20" i="1"/>
  <c r="H20" i="1"/>
  <c r="J19" i="1"/>
  <c r="H19" i="1"/>
  <c r="J18" i="1"/>
  <c r="H18" i="1"/>
  <c r="J17" i="1"/>
  <c r="H17" i="1"/>
</calcChain>
</file>

<file path=xl/sharedStrings.xml><?xml version="1.0" encoding="utf-8"?>
<sst xmlns="http://schemas.openxmlformats.org/spreadsheetml/2006/main" count="228" uniqueCount="93">
  <si>
    <t xml:space="preserve">^ By default, providers are listed, in descending order, based on the no of projects supported the previous year, i.e. providers listed on top have supported larger no of projects </t>
  </si>
  <si>
    <t>Cybersecurity and data security consultancy service (with CSA funding support) that is pre-scoped to align to measures in Health Information Act (HIA) Cybersecurity and Data Security Essentials. A cybersecurity health plan will be developed to help the Health Information Act (HIA) entities and Health Information Management System (HIMS) vendors comply with these requirements.</t>
  </si>
  <si>
    <t>Rank by no. of customers</t>
  </si>
  <si>
    <r>
      <t xml:space="preserve">Name of Provider
</t>
    </r>
    <r>
      <rPr>
        <i/>
        <sz val="11"/>
        <color theme="1"/>
        <rFont val="Calibri"/>
        <family val="2"/>
      </rPr>
      <t>(sorted by track records)</t>
    </r>
  </si>
  <si>
    <t>Contact Name</t>
  </si>
  <si>
    <t>Email</t>
  </si>
  <si>
    <t>Contact #</t>
  </si>
  <si>
    <r>
      <t xml:space="preserve">Quantity of Endpoints
</t>
    </r>
    <r>
      <rPr>
        <i/>
        <sz val="11"/>
        <color theme="1"/>
        <rFont val="Calibri"/>
        <family val="2"/>
      </rPr>
      <t xml:space="preserve">*Price per additional 100 endpoints
</t>
    </r>
  </si>
  <si>
    <t>One-time Professional Service Fees (S$)</t>
  </si>
  <si>
    <t>Retainer Fees (S$)</t>
  </si>
  <si>
    <t>HIA</t>
  </si>
  <si>
    <t>HIMS</t>
  </si>
  <si>
    <t>After funding support</t>
  </si>
  <si>
    <t>Before funding support</t>
  </si>
  <si>
    <t xml:space="preserve">Retainer Fees 
(S$ per man-hour)
</t>
  </si>
  <si>
    <t xml:space="preserve">Retainer Fees 
(S$ per month)
</t>
  </si>
  <si>
    <t>Filter via range of endpoints</t>
  </si>
  <si>
    <t>CyberSafe Pte Ltd</t>
  </si>
  <si>
    <t>Dave Gurbani</t>
  </si>
  <si>
    <t>dave@cybersafe.sg</t>
  </si>
  <si>
    <t>8725 9789</t>
  </si>
  <si>
    <t>(a) 1 - 5 endpoints</t>
  </si>
  <si>
    <t>(b) 6 - 10 endpoints</t>
  </si>
  <si>
    <t>(c) 11 - 20 endpoints</t>
  </si>
  <si>
    <t>(d) 21 - 50 endpoints</t>
  </si>
  <si>
    <t>(e) 51 - 100 endpoints</t>
  </si>
  <si>
    <t>(f) 101 - 200 endpoints</t>
  </si>
  <si>
    <t>(g) 201 - 500 endpoints*</t>
  </si>
  <si>
    <t>(h) Above 500 endpoints*</t>
  </si>
  <si>
    <t>Contfinity Pte Ltd</t>
  </si>
  <si>
    <t>Chan Kai Chung Alex</t>
  </si>
  <si>
    <t>alex.chan@contfinity.com</t>
  </si>
  <si>
    <t>9062 3231</t>
  </si>
  <si>
    <t>Insyghts Security Pte Ltd</t>
  </si>
  <si>
    <t>Ng Ngee Hau</t>
  </si>
  <si>
    <t>alex.ng@insyghts.com.sg</t>
  </si>
  <si>
    <t>8749 4825</t>
  </si>
  <si>
    <t xml:space="preserve">TRS Forensics Pte Ltd </t>
  </si>
  <si>
    <t>Tan Swee Wan</t>
  </si>
  <si>
    <t>tansweewan@trsforensics.com</t>
  </si>
  <si>
    <t xml:space="preserve">9755 7010 </t>
  </si>
  <si>
    <t>Chia Shu Siang</t>
  </si>
  <si>
    <t>6856 9908</t>
  </si>
  <si>
    <t xml:space="preserve">RSM SG Risk Advisory Pte Ltd </t>
  </si>
  <si>
    <t>Kendrick Choo</t>
  </si>
  <si>
    <t>kendrickchooxh@rsmsingapore.sg</t>
  </si>
  <si>
    <t xml:space="preserve">9186 0900 </t>
  </si>
  <si>
    <t xml:space="preserve">Rayn Secure Pte Ltd </t>
  </si>
  <si>
    <t xml:space="preserve">Jwrtee Pte Ltd </t>
  </si>
  <si>
    <t xml:space="preserve">Momentum Z Pte Ltd </t>
  </si>
  <si>
    <t xml:space="preserve">Shane Chiang </t>
  </si>
  <si>
    <t xml:space="preserve">shane@mzt.one </t>
  </si>
  <si>
    <t>9681 2888</t>
  </si>
  <si>
    <t>Richard Pereira</t>
  </si>
  <si>
    <t xml:space="preserve">richard.pereira@raynsecure.com </t>
  </si>
  <si>
    <t>9633 2806</t>
  </si>
  <si>
    <t>Goh Choon Hua</t>
  </si>
  <si>
    <t>gohch@jwrtee.com</t>
  </si>
  <si>
    <t>8755 5977</t>
  </si>
  <si>
    <t>KPMG Services Pte Ltd</t>
  </si>
  <si>
    <t>Eddie Toh</t>
  </si>
  <si>
    <t>eddietoh@kpmg.com.sg</t>
  </si>
  <si>
    <t>8112 0981
6213 3028</t>
  </si>
  <si>
    <t xml:space="preserve">Acclime Risk Advisory Pte Ltd </t>
  </si>
  <si>
    <t>shusiang.chia@acclime.com</t>
  </si>
  <si>
    <t>ATET Pte Ltd</t>
  </si>
  <si>
    <t>Daniel Goh</t>
  </si>
  <si>
    <t>daniel@atetsecurity.com</t>
  </si>
  <si>
    <t>9832 3308</t>
  </si>
  <si>
    <t xml:space="preserve">Sekuro Operations Pte Ltd </t>
  </si>
  <si>
    <t xml:space="preserve">Lloyd McGill Pte Ltd </t>
  </si>
  <si>
    <t>Gary Ng</t>
  </si>
  <si>
    <t>9679 1267</t>
  </si>
  <si>
    <t>Jimmy Soon</t>
  </si>
  <si>
    <t>jimmy.soon@lloydmcgill.com</t>
  </si>
  <si>
    <t>9631 1958</t>
  </si>
  <si>
    <t>Belinda Liau</t>
  </si>
  <si>
    <t>sgsales@sekuro.io</t>
  </si>
  <si>
    <t>9190 7231</t>
  </si>
  <si>
    <t>garyng@nyrisk.sg</t>
  </si>
  <si>
    <t>NY Risk Consulting Pte Ltd</t>
  </si>
  <si>
    <t xml:space="preserve">Sin-Yun Pte Ltd </t>
  </si>
  <si>
    <t>Luke Ku</t>
  </si>
  <si>
    <t>luke@sinyun.sg</t>
  </si>
  <si>
    <t xml:space="preserve">9025 1966 </t>
  </si>
  <si>
    <t>9799 2391</t>
  </si>
  <si>
    <t>Gaurav Keerthi</t>
  </si>
  <si>
    <t>gaurav@strongkeep.com</t>
  </si>
  <si>
    <t xml:space="preserve">StrongKeep Cybersecurity Pte Ltd </t>
  </si>
  <si>
    <t>Viperlink Pte Ltd</t>
  </si>
  <si>
    <t>Lee Kok Onn</t>
  </si>
  <si>
    <t>9742 7774</t>
  </si>
  <si>
    <t>Providers of CISO as-a-Service for Health Information Act (HIA) Cybersecurity and Data Security Essentials – as of 23.10.2026^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</si>
</sst>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164" formatCode="&quot;&quot;&quot;$&quot;#,##0.00;\-&quot;$&quot;#,##0.00"/>
    <numFmt numFmtId="165" formatCode="&quot;+&quot;\ &quot;$&quot;#,##0.00;\-&quot;$&quot;#,##0.00"/>
    <numFmt numFmtId="166" formatCode="&quot;+&quot;&quot;$&quot;#,##0.00;\-&quot;$&quot;#,##0.0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rgb="FFC00000"/>
      <name val="Calibri"/>
      <family val="2"/>
    </font>
    <font>
      <sz val="11"/>
      <color rgb="FFC00000"/>
      <name val="Calibri"/>
      <family val="2"/>
    </font>
    <font>
      <i/>
      <sz val="11"/>
      <name val="Calibri"/>
      <family val="2"/>
    </font>
    <font>
      <i/>
      <sz val="11"/>
      <color theme="1"/>
      <name val="Calibri"/>
      <family val="2"/>
    </font>
    <font>
      <sz val="11"/>
      <color theme="1" tint="0.1499984740745262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i/>
      <sz val="11"/>
      <color rgb="FF7030A0"/>
      <name val="Calibri"/>
      <family val="2"/>
    </font>
    <font>
      <sz val="11"/>
      <name val="Aptos Narrow"/>
      <family val="2"/>
      <scheme val="minor"/>
    </font>
    <font>
      <u/>
      <sz val="11"/>
      <color rgb="FF0070C0"/>
      <name val="Calibri"/>
      <family val="2"/>
    </font>
    <font>
      <b/>
      <sz val="14"/>
      <name val="Calibri"/>
      <family val="2"/>
    </font>
    <font>
      <u/>
      <sz val="11"/>
      <color theme="3" tint="0.249977111117893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BEC0BF"/>
      </patternFill>
    </fill>
    <fill>
      <patternFill patternType="solid">
        <fgColor rgb="FFE2EFD9"/>
        <bgColor rgb="FFE2EFD9"/>
      </patternFill>
    </fill>
    <fill>
      <patternFill patternType="solid">
        <fgColor rgb="FFBEC0BF"/>
        <bgColor rgb="FFBEC0BF"/>
      </patternFill>
    </fill>
    <fill>
      <patternFill patternType="solid">
        <fgColor theme="0" tint="-0.14999847407452621"/>
        <bgColor rgb="FFDCDCDC"/>
      </patternFill>
    </fill>
    <fill>
      <patternFill patternType="solid">
        <fgColor rgb="FFF2F2F2"/>
        <bgColor rgb="FFF2F2F2"/>
      </patternFill>
    </fill>
    <fill>
      <patternFill patternType="lightUp">
        <fgColor theme="1"/>
      </patternFill>
    </fill>
    <fill>
      <patternFill patternType="lightUp">
        <fgColor theme="1"/>
        <bgColor rgb="FFF2F2F2"/>
      </patternFill>
    </fill>
    <fill>
      <patternFill patternType="solid">
        <fgColor theme="3" tint="0.89999084444715716"/>
        <bgColor rgb="FFDEEAF6"/>
      </patternFill>
    </fill>
    <fill>
      <patternFill patternType="solid">
        <fgColor theme="3" tint="0.89999084444715716"/>
        <bgColor rgb="FFE2EFD9"/>
      </patternFill>
    </fill>
    <fill>
      <patternFill patternType="solid">
        <fgColor theme="3" tint="0.89999084444715716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3A3838"/>
      </right>
      <top style="thin">
        <color rgb="FF3A3838"/>
      </top>
      <bottom style="thin">
        <color rgb="FF3A383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3A3838"/>
      </right>
      <top style="thin">
        <color rgb="FF3A383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A3838"/>
      </right>
      <top style="medium">
        <color indexed="64"/>
      </top>
      <bottom/>
      <diagonal/>
    </border>
    <border>
      <left style="thin">
        <color rgb="FF3A3838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3A3838"/>
      </right>
      <top style="medium">
        <color indexed="64"/>
      </top>
      <bottom/>
      <diagonal/>
    </border>
    <border>
      <left style="thin">
        <color rgb="FF3A3838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A3838"/>
      </right>
      <top/>
      <bottom/>
      <diagonal/>
    </border>
    <border>
      <left style="thin">
        <color rgb="FF3A383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3A3838"/>
      </right>
      <top/>
      <bottom/>
      <diagonal/>
    </border>
    <border>
      <left style="thin">
        <color rgb="FF3A383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A3838"/>
      </right>
      <top/>
      <bottom style="medium">
        <color indexed="64"/>
      </bottom>
      <diagonal/>
    </border>
    <border>
      <left style="thin">
        <color rgb="FF3A383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3A3838"/>
      </right>
      <top/>
      <bottom style="medium">
        <color indexed="64"/>
      </bottom>
      <diagonal/>
    </border>
    <border>
      <left style="thin">
        <color rgb="FF3A383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5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center"/>
    </xf>
    <xf numFmtId="16" fontId="6" fillId="0" borderId="0" xfId="0" quotePrefix="1" applyNumberFormat="1" applyFont="1" applyAlignment="1">
      <alignment horizontal="left" vertical="top"/>
    </xf>
    <xf numFmtId="16" fontId="6" fillId="0" borderId="0" xfId="0" applyNumberFormat="1" applyFont="1" applyAlignment="1">
      <alignment vertical="top" wrapText="1"/>
    </xf>
    <xf numFmtId="0" fontId="1" fillId="0" borderId="0" xfId="0" applyFont="1" applyAlignment="1">
      <alignment vertical="top"/>
    </xf>
    <xf numFmtId="0" fontId="9" fillId="5" borderId="2" xfId="0" applyFont="1" applyFill="1" applyBorder="1" applyAlignment="1">
      <alignment horizontal="left" vertical="top"/>
    </xf>
    <xf numFmtId="0" fontId="9" fillId="5" borderId="11" xfId="0" applyFont="1" applyFill="1" applyBorder="1" applyAlignment="1">
      <alignment horizontal="left" vertical="top"/>
    </xf>
    <xf numFmtId="16" fontId="9" fillId="6" borderId="22" xfId="0" quotePrefix="1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center" vertical="top" wrapText="1"/>
    </xf>
    <xf numFmtId="164" fontId="9" fillId="0" borderId="8" xfId="0" applyNumberFormat="1" applyFont="1" applyBorder="1" applyAlignment="1">
      <alignment horizontal="center" vertical="top" wrapText="1"/>
    </xf>
    <xf numFmtId="164" fontId="9" fillId="0" borderId="9" xfId="0" applyNumberFormat="1" applyFont="1" applyBorder="1" applyAlignment="1">
      <alignment horizontal="center" vertical="top" wrapText="1"/>
    </xf>
    <xf numFmtId="164" fontId="9" fillId="0" borderId="7" xfId="0" applyNumberFormat="1" applyFont="1" applyBorder="1" applyAlignment="1">
      <alignment horizontal="center" vertical="top" wrapText="1"/>
    </xf>
    <xf numFmtId="0" fontId="0" fillId="0" borderId="23" xfId="0" applyBorder="1" applyAlignment="1">
      <alignment vertical="top"/>
    </xf>
    <xf numFmtId="0" fontId="0" fillId="0" borderId="24" xfId="0" applyBorder="1" applyAlignment="1">
      <alignment vertical="top"/>
    </xf>
    <xf numFmtId="17" fontId="9" fillId="6" borderId="29" xfId="0" quotePrefix="1" applyNumberFormat="1" applyFont="1" applyFill="1" applyBorder="1" applyAlignment="1">
      <alignment horizontal="left" vertical="top" wrapText="1"/>
    </xf>
    <xf numFmtId="164" fontId="9" fillId="7" borderId="30" xfId="0" applyNumberFormat="1" applyFont="1" applyFill="1" applyBorder="1" applyAlignment="1">
      <alignment horizontal="center" vertical="top" wrapText="1"/>
    </xf>
    <xf numFmtId="7" fontId="2" fillId="7" borderId="31" xfId="1" applyNumberFormat="1" applyFill="1" applyBorder="1" applyAlignment="1">
      <alignment horizontal="center" vertical="top" wrapText="1"/>
    </xf>
    <xf numFmtId="165" fontId="2" fillId="7" borderId="31" xfId="1" applyNumberFormat="1" applyFill="1" applyBorder="1" applyAlignment="1">
      <alignment horizontal="center" vertical="top" wrapText="1"/>
    </xf>
    <xf numFmtId="164" fontId="9" fillId="7" borderId="23" xfId="0" applyNumberFormat="1" applyFont="1" applyFill="1" applyBorder="1" applyAlignment="1">
      <alignment horizontal="center" vertical="top" wrapText="1"/>
    </xf>
    <xf numFmtId="164" fontId="9" fillId="7" borderId="32" xfId="0" applyNumberFormat="1" applyFont="1" applyFill="1" applyBorder="1" applyAlignment="1">
      <alignment horizontal="center" vertical="top" wrapText="1"/>
    </xf>
    <xf numFmtId="164" fontId="9" fillId="7" borderId="31" xfId="0" applyNumberFormat="1" applyFont="1" applyFill="1" applyBorder="1" applyAlignment="1">
      <alignment horizontal="center" vertical="top" wrapText="1"/>
    </xf>
    <xf numFmtId="164" fontId="9" fillId="0" borderId="30" xfId="0" applyNumberFormat="1" applyFont="1" applyBorder="1" applyAlignment="1">
      <alignment horizontal="center" vertical="top" wrapText="1"/>
    </xf>
    <xf numFmtId="7" fontId="2" fillId="0" borderId="31" xfId="1" applyNumberFormat="1" applyBorder="1" applyAlignment="1">
      <alignment horizontal="center" vertical="top" wrapText="1"/>
    </xf>
    <xf numFmtId="165" fontId="2" fillId="0" borderId="31" xfId="1" applyNumberFormat="1" applyBorder="1" applyAlignment="1">
      <alignment horizontal="center" vertical="top" wrapText="1"/>
    </xf>
    <xf numFmtId="164" fontId="9" fillId="0" borderId="23" xfId="0" applyNumberFormat="1" applyFont="1" applyBorder="1" applyAlignment="1">
      <alignment horizontal="center" vertical="top" wrapText="1"/>
    </xf>
    <xf numFmtId="164" fontId="9" fillId="0" borderId="32" xfId="0" applyNumberFormat="1" applyFont="1" applyBorder="1" applyAlignment="1">
      <alignment horizontal="center" vertical="top" wrapText="1"/>
    </xf>
    <xf numFmtId="164" fontId="9" fillId="0" borderId="31" xfId="0" applyNumberFormat="1" applyFont="1" applyBorder="1" applyAlignment="1">
      <alignment horizontal="center" vertical="top" wrapText="1"/>
    </xf>
    <xf numFmtId="0" fontId="9" fillId="6" borderId="29" xfId="0" quotePrefix="1" applyFont="1" applyFill="1" applyBorder="1" applyAlignment="1">
      <alignment horizontal="left" vertical="top" wrapText="1"/>
    </xf>
    <xf numFmtId="166" fontId="9" fillId="8" borderId="30" xfId="0" applyNumberFormat="1" applyFont="1" applyFill="1" applyBorder="1" applyAlignment="1">
      <alignment horizontal="center" vertical="top" wrapText="1"/>
    </xf>
    <xf numFmtId="7" fontId="9" fillId="8" borderId="30" xfId="0" applyNumberFormat="1" applyFont="1" applyFill="1" applyBorder="1" applyAlignment="1">
      <alignment horizontal="center" vertical="top" wrapText="1"/>
    </xf>
    <xf numFmtId="0" fontId="9" fillId="6" borderId="37" xfId="0" quotePrefix="1" applyFont="1" applyFill="1" applyBorder="1" applyAlignment="1">
      <alignment horizontal="left" vertical="top" wrapText="1"/>
    </xf>
    <xf numFmtId="166" fontId="9" fillId="9" borderId="17" xfId="0" applyNumberFormat="1" applyFont="1" applyFill="1" applyBorder="1" applyAlignment="1">
      <alignment horizontal="center" vertical="top" wrapText="1"/>
    </xf>
    <xf numFmtId="164" fontId="9" fillId="7" borderId="14" xfId="0" applyNumberFormat="1" applyFont="1" applyFill="1" applyBorder="1" applyAlignment="1">
      <alignment horizontal="center" vertical="top" wrapText="1"/>
    </xf>
    <xf numFmtId="7" fontId="9" fillId="9" borderId="17" xfId="0" applyNumberFormat="1" applyFont="1" applyFill="1" applyBorder="1" applyAlignment="1">
      <alignment horizontal="center" vertical="top" wrapText="1"/>
    </xf>
    <xf numFmtId="164" fontId="9" fillId="7" borderId="15" xfId="0" applyNumberFormat="1" applyFont="1" applyFill="1" applyBorder="1" applyAlignment="1">
      <alignment horizontal="center" vertical="top" wrapText="1"/>
    </xf>
    <xf numFmtId="164" fontId="9" fillId="7" borderId="16" xfId="0" applyNumberFormat="1" applyFont="1" applyFill="1" applyBorder="1" applyAlignment="1">
      <alignment horizontal="center" vertical="top" wrapText="1"/>
    </xf>
    <xf numFmtId="164" fontId="9" fillId="7" borderId="17" xfId="0" applyNumberFormat="1" applyFont="1" applyFill="1" applyBorder="1" applyAlignment="1">
      <alignment horizontal="center" vertical="top" wrapText="1"/>
    </xf>
    <xf numFmtId="164" fontId="9" fillId="0" borderId="38" xfId="0" applyNumberFormat="1" applyFont="1" applyBorder="1" applyAlignment="1">
      <alignment horizontal="center" vertical="top" wrapText="1"/>
    </xf>
    <xf numFmtId="7" fontId="2" fillId="0" borderId="39" xfId="1" applyNumberFormat="1" applyBorder="1" applyAlignment="1">
      <alignment horizontal="center" vertical="top" wrapText="1"/>
    </xf>
    <xf numFmtId="165" fontId="2" fillId="0" borderId="39" xfId="1" applyNumberFormat="1" applyBorder="1" applyAlignment="1">
      <alignment horizontal="center" vertical="top" wrapText="1"/>
    </xf>
    <xf numFmtId="164" fontId="9" fillId="0" borderId="40" xfId="0" applyNumberFormat="1" applyFont="1" applyBorder="1" applyAlignment="1">
      <alignment horizontal="center" vertical="top" wrapText="1"/>
    </xf>
    <xf numFmtId="164" fontId="9" fillId="0" borderId="41" xfId="0" applyNumberFormat="1" applyFont="1" applyBorder="1" applyAlignment="1">
      <alignment horizontal="center" vertical="top" wrapText="1"/>
    </xf>
    <xf numFmtId="164" fontId="9" fillId="0" borderId="39" xfId="0" applyNumberFormat="1" applyFont="1" applyBorder="1" applyAlignment="1">
      <alignment horizontal="center" vertical="top" wrapText="1"/>
    </xf>
    <xf numFmtId="0" fontId="9" fillId="0" borderId="23" xfId="0" applyFont="1" applyBorder="1" applyAlignment="1">
      <alignment horizontal="left" vertical="top"/>
    </xf>
    <xf numFmtId="164" fontId="9" fillId="7" borderId="43" xfId="0" applyNumberFormat="1" applyFont="1" applyFill="1" applyBorder="1" applyAlignment="1">
      <alignment horizontal="center" vertical="top" wrapText="1"/>
    </xf>
    <xf numFmtId="164" fontId="9" fillId="7" borderId="44" xfId="0" applyNumberFormat="1" applyFont="1" applyFill="1" applyBorder="1" applyAlignment="1">
      <alignment horizontal="center" vertical="top" wrapText="1"/>
    </xf>
    <xf numFmtId="164" fontId="9" fillId="7" borderId="45" xfId="0" applyNumberFormat="1" applyFont="1" applyFill="1" applyBorder="1" applyAlignment="1">
      <alignment horizontal="center" vertical="top" wrapText="1"/>
    </xf>
    <xf numFmtId="164" fontId="9" fillId="7" borderId="42" xfId="0" applyNumberFormat="1" applyFont="1" applyFill="1" applyBorder="1" applyAlignment="1">
      <alignment horizontal="center" vertical="top" wrapText="1"/>
    </xf>
    <xf numFmtId="0" fontId="13" fillId="0" borderId="0" xfId="0" applyFont="1"/>
    <xf numFmtId="7" fontId="14" fillId="0" borderId="7" xfId="1" applyNumberFormat="1" applyFont="1" applyBorder="1" applyAlignment="1">
      <alignment horizontal="center" vertical="top" wrapText="1"/>
    </xf>
    <xf numFmtId="7" fontId="14" fillId="7" borderId="31" xfId="1" applyNumberFormat="1" applyFont="1" applyFill="1" applyBorder="1" applyAlignment="1">
      <alignment horizontal="center" vertical="top" wrapText="1"/>
    </xf>
    <xf numFmtId="7" fontId="14" fillId="0" borderId="31" xfId="1" applyNumberFormat="1" applyFont="1" applyBorder="1" applyAlignment="1">
      <alignment horizontal="center" vertical="top" wrapText="1"/>
    </xf>
    <xf numFmtId="165" fontId="14" fillId="0" borderId="7" xfId="1" applyNumberFormat="1" applyFont="1" applyBorder="1" applyAlignment="1">
      <alignment horizontal="center" vertical="top" wrapText="1"/>
    </xf>
    <xf numFmtId="165" fontId="14" fillId="7" borderId="31" xfId="1" applyNumberFormat="1" applyFont="1" applyFill="1" applyBorder="1" applyAlignment="1">
      <alignment horizontal="center" vertical="top" wrapText="1"/>
    </xf>
    <xf numFmtId="165" fontId="14" fillId="0" borderId="31" xfId="1" applyNumberFormat="1" applyFont="1" applyBorder="1" applyAlignment="1">
      <alignment horizontal="center" vertical="top" wrapText="1"/>
    </xf>
    <xf numFmtId="7" fontId="14" fillId="0" borderId="39" xfId="1" applyNumberFormat="1" applyFont="1" applyBorder="1" applyAlignment="1">
      <alignment horizontal="center" vertical="top" wrapText="1"/>
    </xf>
    <xf numFmtId="165" fontId="14" fillId="0" borderId="39" xfId="1" applyNumberFormat="1" applyFont="1" applyBorder="1" applyAlignment="1">
      <alignment horizontal="center" vertical="top" wrapText="1"/>
    </xf>
    <xf numFmtId="166" fontId="10" fillId="8" borderId="30" xfId="0" applyNumberFormat="1" applyFont="1" applyFill="1" applyBorder="1" applyAlignment="1">
      <alignment horizontal="center" vertical="top" wrapText="1"/>
    </xf>
    <xf numFmtId="164" fontId="10" fillId="0" borderId="31" xfId="0" applyNumberFormat="1" applyFont="1" applyBorder="1" applyAlignment="1">
      <alignment horizontal="center" vertical="top" wrapText="1"/>
    </xf>
    <xf numFmtId="7" fontId="10" fillId="8" borderId="30" xfId="0" applyNumberFormat="1" applyFont="1" applyFill="1" applyBorder="1" applyAlignment="1">
      <alignment horizontal="center" vertical="top" wrapText="1"/>
    </xf>
    <xf numFmtId="166" fontId="10" fillId="9" borderId="42" xfId="0" applyNumberFormat="1" applyFont="1" applyFill="1" applyBorder="1" applyAlignment="1">
      <alignment horizontal="center" vertical="top" wrapText="1"/>
    </xf>
    <xf numFmtId="164" fontId="10" fillId="7" borderId="43" xfId="0" applyNumberFormat="1" applyFont="1" applyFill="1" applyBorder="1" applyAlignment="1">
      <alignment horizontal="center" vertical="top" wrapText="1"/>
    </xf>
    <xf numFmtId="7" fontId="10" fillId="9" borderId="42" xfId="0" applyNumberFormat="1" applyFont="1" applyFill="1" applyBorder="1" applyAlignment="1">
      <alignment horizontal="center" vertical="top" wrapText="1"/>
    </xf>
    <xf numFmtId="164" fontId="10" fillId="0" borderId="30" xfId="0" applyNumberFormat="1" applyFont="1" applyBorder="1" applyAlignment="1">
      <alignment horizontal="center" vertical="top" wrapText="1"/>
    </xf>
    <xf numFmtId="164" fontId="10" fillId="7" borderId="30" xfId="0" applyNumberFormat="1" applyFont="1" applyFill="1" applyBorder="1" applyAlignment="1">
      <alignment horizontal="center" vertical="top" wrapText="1"/>
    </xf>
    <xf numFmtId="7" fontId="10" fillId="9" borderId="17" xfId="0" applyNumberFormat="1" applyFont="1" applyFill="1" applyBorder="1" applyAlignment="1">
      <alignment horizontal="center" vertical="top" wrapText="1"/>
    </xf>
    <xf numFmtId="164" fontId="10" fillId="0" borderId="38" xfId="0" applyNumberFormat="1" applyFont="1" applyBorder="1" applyAlignment="1">
      <alignment horizontal="center" vertical="top" wrapText="1"/>
    </xf>
    <xf numFmtId="164" fontId="10" fillId="0" borderId="10" xfId="0" applyNumberFormat="1" applyFont="1" applyBorder="1" applyAlignment="1">
      <alignment horizontal="center" vertical="top" wrapText="1"/>
    </xf>
    <xf numFmtId="164" fontId="10" fillId="7" borderId="14" xfId="0" applyNumberFormat="1" applyFont="1" applyFill="1" applyBorder="1" applyAlignment="1">
      <alignment horizontal="center" vertical="top" wrapText="1"/>
    </xf>
    <xf numFmtId="166" fontId="10" fillId="9" borderId="17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2" fillId="3" borderId="12" xfId="0" applyFont="1" applyFill="1" applyBorder="1" applyAlignment="1" applyProtection="1">
      <alignment vertical="top" wrapText="1"/>
      <protection locked="0"/>
    </xf>
    <xf numFmtId="0" fontId="9" fillId="6" borderId="27" xfId="0" applyFont="1" applyFill="1" applyBorder="1" applyAlignment="1">
      <alignment horizontal="center" vertical="top" wrapText="1"/>
    </xf>
    <xf numFmtId="49" fontId="10" fillId="6" borderId="27" xfId="0" applyNumberFormat="1" applyFont="1" applyFill="1" applyBorder="1" applyAlignment="1">
      <alignment horizontal="center" vertical="top" wrapText="1"/>
    </xf>
    <xf numFmtId="0" fontId="9" fillId="6" borderId="0" xfId="0" applyFont="1" applyFill="1" applyAlignment="1">
      <alignment horizontal="center" vertical="top" wrapText="1"/>
    </xf>
    <xf numFmtId="0" fontId="10" fillId="6" borderId="51" xfId="0" applyFont="1" applyFill="1" applyBorder="1" applyAlignment="1">
      <alignment horizontal="center" vertical="top" wrapText="1"/>
    </xf>
    <xf numFmtId="0" fontId="10" fillId="6" borderId="52" xfId="0" applyFont="1" applyFill="1" applyBorder="1" applyAlignment="1">
      <alignment horizontal="center" vertical="top" wrapText="1"/>
    </xf>
    <xf numFmtId="0" fontId="9" fillId="6" borderId="0" xfId="0" quotePrefix="1" applyFont="1" applyFill="1" applyAlignment="1">
      <alignment horizontal="left" vertical="top" wrapText="1"/>
    </xf>
    <xf numFmtId="166" fontId="9" fillId="9" borderId="44" xfId="0" applyNumberFormat="1" applyFont="1" applyFill="1" applyBorder="1" applyAlignment="1">
      <alignment horizontal="center" vertical="top" wrapText="1"/>
    </xf>
    <xf numFmtId="7" fontId="10" fillId="9" borderId="44" xfId="0" applyNumberFormat="1" applyFont="1" applyFill="1" applyBorder="1" applyAlignment="1">
      <alignment horizontal="center" vertical="top" wrapText="1"/>
    </xf>
    <xf numFmtId="7" fontId="10" fillId="9" borderId="10" xfId="0" applyNumberFormat="1" applyFont="1" applyFill="1" applyBorder="1" applyAlignment="1">
      <alignment horizontal="center" vertical="top" wrapText="1"/>
    </xf>
    <xf numFmtId="7" fontId="10" fillId="8" borderId="53" xfId="0" applyNumberFormat="1" applyFont="1" applyFill="1" applyBorder="1" applyAlignment="1">
      <alignment horizontal="center" vertical="top" wrapText="1"/>
    </xf>
    <xf numFmtId="7" fontId="10" fillId="9" borderId="54" xfId="0" applyNumberFormat="1" applyFont="1" applyFill="1" applyBorder="1" applyAlignment="1">
      <alignment horizontal="center" vertical="top" wrapText="1"/>
    </xf>
    <xf numFmtId="7" fontId="10" fillId="8" borderId="24" xfId="0" applyNumberFormat="1" applyFont="1" applyFill="1" applyBorder="1" applyAlignment="1">
      <alignment horizontal="center" vertical="top" wrapText="1"/>
    </xf>
    <xf numFmtId="7" fontId="10" fillId="9" borderId="55" xfId="0" applyNumberFormat="1" applyFont="1" applyFill="1" applyBorder="1" applyAlignment="1">
      <alignment horizontal="center" vertical="top" wrapText="1"/>
    </xf>
    <xf numFmtId="7" fontId="10" fillId="8" borderId="31" xfId="0" applyNumberFormat="1" applyFont="1" applyFill="1" applyBorder="1" applyAlignment="1">
      <alignment horizontal="center" vertical="top" wrapText="1"/>
    </xf>
    <xf numFmtId="7" fontId="10" fillId="9" borderId="14" xfId="0" applyNumberFormat="1" applyFont="1" applyFill="1" applyBorder="1" applyAlignment="1">
      <alignment horizontal="center" vertical="top" wrapText="1"/>
    </xf>
    <xf numFmtId="0" fontId="0" fillId="0" borderId="56" xfId="0" applyBorder="1" applyAlignment="1">
      <alignment vertical="top"/>
    </xf>
    <xf numFmtId="166" fontId="9" fillId="8" borderId="24" xfId="0" applyNumberFormat="1" applyFont="1" applyFill="1" applyBorder="1" applyAlignment="1">
      <alignment horizontal="center" vertical="top" wrapText="1"/>
    </xf>
    <xf numFmtId="165" fontId="16" fillId="0" borderId="7" xfId="1" applyNumberFormat="1" applyFont="1" applyBorder="1" applyAlignment="1">
      <alignment horizontal="center" vertical="top" wrapText="1"/>
    </xf>
    <xf numFmtId="165" fontId="14" fillId="7" borderId="32" xfId="1" applyNumberFormat="1" applyFont="1" applyFill="1" applyBorder="1" applyAlignment="1">
      <alignment horizontal="center" vertical="top" wrapText="1"/>
    </xf>
    <xf numFmtId="165" fontId="14" fillId="0" borderId="32" xfId="1" applyNumberFormat="1" applyFont="1" applyBorder="1" applyAlignment="1">
      <alignment horizontal="center" vertical="top" wrapText="1"/>
    </xf>
    <xf numFmtId="165" fontId="14" fillId="0" borderId="9" xfId="1" applyNumberFormat="1" applyFont="1" applyBorder="1" applyAlignment="1">
      <alignment horizontal="center" vertical="top" wrapText="1"/>
    </xf>
    <xf numFmtId="164" fontId="9" fillId="0" borderId="24" xfId="0" applyNumberFormat="1" applyFont="1" applyBorder="1" applyAlignment="1">
      <alignment horizontal="center" vertical="top" wrapText="1"/>
    </xf>
    <xf numFmtId="164" fontId="9" fillId="7" borderId="24" xfId="0" applyNumberFormat="1" applyFont="1" applyFill="1" applyBorder="1" applyAlignment="1">
      <alignment horizontal="center" vertical="top" wrapText="1"/>
    </xf>
    <xf numFmtId="164" fontId="9" fillId="0" borderId="56" xfId="0" applyNumberFormat="1" applyFont="1" applyBorder="1" applyAlignment="1">
      <alignment horizontal="center" vertical="top" wrapText="1"/>
    </xf>
    <xf numFmtId="7" fontId="10" fillId="9" borderId="24" xfId="0" applyNumberFormat="1" applyFont="1" applyFill="1" applyBorder="1" applyAlignment="1">
      <alignment horizontal="center" vertical="top" wrapText="1"/>
    </xf>
    <xf numFmtId="166" fontId="9" fillId="9" borderId="57" xfId="0" applyNumberFormat="1" applyFont="1" applyFill="1" applyBorder="1" applyAlignment="1">
      <alignment horizontal="center" vertical="top" wrapText="1"/>
    </xf>
    <xf numFmtId="7" fontId="10" fillId="9" borderId="57" xfId="0" applyNumberFormat="1" applyFont="1" applyFill="1" applyBorder="1" applyAlignment="1">
      <alignment horizontal="center" vertical="top" wrapText="1"/>
    </xf>
    <xf numFmtId="7" fontId="14" fillId="7" borderId="32" xfId="1" applyNumberFormat="1" applyFont="1" applyFill="1" applyBorder="1" applyAlignment="1">
      <alignment horizontal="center" vertical="top" wrapText="1"/>
    </xf>
    <xf numFmtId="7" fontId="14" fillId="0" borderId="32" xfId="1" applyNumberFormat="1" applyFont="1" applyBorder="1" applyAlignment="1">
      <alignment horizontal="center" vertical="top" wrapText="1"/>
    </xf>
    <xf numFmtId="7" fontId="10" fillId="8" borderId="56" xfId="0" applyNumberFormat="1" applyFont="1" applyFill="1" applyBorder="1" applyAlignment="1">
      <alignment horizontal="center" vertical="top" wrapText="1"/>
    </xf>
    <xf numFmtId="0" fontId="10" fillId="6" borderId="18" xfId="0" applyFont="1" applyFill="1" applyBorder="1" applyAlignment="1">
      <alignment horizontal="center" vertical="top" wrapText="1"/>
    </xf>
    <xf numFmtId="0" fontId="10" fillId="6" borderId="25" xfId="0" applyFont="1" applyFill="1" applyBorder="1" applyAlignment="1">
      <alignment horizontal="center" vertical="top" wrapText="1"/>
    </xf>
    <xf numFmtId="0" fontId="10" fillId="6" borderId="33" xfId="0" applyFont="1" applyFill="1" applyBorder="1" applyAlignment="1">
      <alignment horizontal="center" vertical="top" wrapText="1"/>
    </xf>
    <xf numFmtId="0" fontId="10" fillId="6" borderId="19" xfId="0" applyFont="1" applyFill="1" applyBorder="1" applyAlignment="1">
      <alignment horizontal="center" vertical="top" wrapText="1"/>
    </xf>
    <xf numFmtId="0" fontId="10" fillId="6" borderId="26" xfId="0" applyFont="1" applyFill="1" applyBorder="1" applyAlignment="1">
      <alignment horizontal="center" vertical="top" wrapText="1"/>
    </xf>
    <xf numFmtId="0" fontId="10" fillId="6" borderId="34" xfId="0" applyFont="1" applyFill="1" applyBorder="1" applyAlignment="1">
      <alignment horizontal="center" vertical="top" wrapText="1"/>
    </xf>
    <xf numFmtId="0" fontId="9" fillId="6" borderId="20" xfId="0" applyFont="1" applyFill="1" applyBorder="1" applyAlignment="1">
      <alignment horizontal="center" vertical="top" wrapText="1"/>
    </xf>
    <xf numFmtId="0" fontId="9" fillId="6" borderId="27" xfId="0" applyFont="1" applyFill="1" applyBorder="1" applyAlignment="1">
      <alignment horizontal="center" vertical="top" wrapText="1"/>
    </xf>
    <xf numFmtId="0" fontId="9" fillId="6" borderId="35" xfId="0" applyFont="1" applyFill="1" applyBorder="1" applyAlignment="1">
      <alignment horizontal="center" vertical="top" wrapText="1"/>
    </xf>
    <xf numFmtId="49" fontId="10" fillId="6" borderId="20" xfId="0" applyNumberFormat="1" applyFont="1" applyFill="1" applyBorder="1" applyAlignment="1">
      <alignment horizontal="center" vertical="top" wrapText="1"/>
    </xf>
    <xf numFmtId="49" fontId="10" fillId="6" borderId="27" xfId="0" applyNumberFormat="1" applyFont="1" applyFill="1" applyBorder="1" applyAlignment="1">
      <alignment horizontal="center" vertical="top" wrapText="1"/>
    </xf>
    <xf numFmtId="49" fontId="10" fillId="6" borderId="35" xfId="0" applyNumberFormat="1" applyFont="1" applyFill="1" applyBorder="1" applyAlignment="1">
      <alignment horizontal="center" vertical="top" wrapText="1"/>
    </xf>
    <xf numFmtId="0" fontId="10" fillId="6" borderId="21" xfId="0" applyFont="1" applyFill="1" applyBorder="1" applyAlignment="1">
      <alignment horizontal="center" vertical="top" wrapText="1"/>
    </xf>
    <xf numFmtId="0" fontId="10" fillId="6" borderId="28" xfId="0" applyFont="1" applyFill="1" applyBorder="1" applyAlignment="1">
      <alignment horizontal="center" vertical="top" wrapText="1"/>
    </xf>
    <xf numFmtId="0" fontId="10" fillId="6" borderId="36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center" vertical="top"/>
    </xf>
    <xf numFmtId="0" fontId="8" fillId="3" borderId="13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10" borderId="4" xfId="0" applyFont="1" applyFill="1" applyBorder="1" applyAlignment="1">
      <alignment horizontal="center" vertical="top" wrapText="1"/>
    </xf>
    <xf numFmtId="0" fontId="8" fillId="10" borderId="6" xfId="0" applyFont="1" applyFill="1" applyBorder="1" applyAlignment="1">
      <alignment horizontal="center" vertical="top" wrapText="1"/>
    </xf>
    <xf numFmtId="0" fontId="8" fillId="11" borderId="4" xfId="0" applyFont="1" applyFill="1" applyBorder="1" applyAlignment="1">
      <alignment horizontal="center" vertical="top" wrapText="1"/>
    </xf>
    <xf numFmtId="0" fontId="8" fillId="11" borderId="5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center" vertical="top" wrapText="1"/>
    </xf>
    <xf numFmtId="0" fontId="8" fillId="4" borderId="5" xfId="0" applyFont="1" applyFill="1" applyBorder="1" applyAlignment="1">
      <alignment horizontal="center" vertical="top" wrapText="1"/>
    </xf>
    <xf numFmtId="0" fontId="11" fillId="12" borderId="49" xfId="0" applyFont="1" applyFill="1" applyBorder="1" applyAlignment="1">
      <alignment horizontal="center" vertical="top" wrapText="1"/>
    </xf>
    <xf numFmtId="0" fontId="11" fillId="12" borderId="50" xfId="0" applyFont="1" applyFill="1" applyBorder="1" applyAlignment="1">
      <alignment horizontal="center" vertical="top" wrapText="1"/>
    </xf>
    <xf numFmtId="0" fontId="11" fillId="12" borderId="47" xfId="0" applyFont="1" applyFill="1" applyBorder="1" applyAlignment="1">
      <alignment horizontal="center" vertical="top" wrapText="1"/>
    </xf>
    <xf numFmtId="0" fontId="11" fillId="12" borderId="48" xfId="0" applyFont="1" applyFill="1" applyBorder="1" applyAlignment="1">
      <alignment horizontal="center" vertical="top" wrapText="1"/>
    </xf>
    <xf numFmtId="0" fontId="8" fillId="4" borderId="49" xfId="0" applyFont="1" applyFill="1" applyBorder="1" applyAlignment="1">
      <alignment horizontal="center" vertical="top" wrapText="1"/>
    </xf>
    <xf numFmtId="0" fontId="8" fillId="4" borderId="50" xfId="0" applyFont="1" applyFill="1" applyBorder="1" applyAlignment="1">
      <alignment horizontal="center" vertical="top" wrapText="1"/>
    </xf>
    <xf numFmtId="0" fontId="8" fillId="4" borderId="47" xfId="0" applyFont="1" applyFill="1" applyBorder="1" applyAlignment="1">
      <alignment horizontal="center" vertical="top" wrapText="1"/>
    </xf>
    <xf numFmtId="0" fontId="8" fillId="4" borderId="48" xfId="0" applyFont="1" applyFill="1" applyBorder="1" applyAlignment="1">
      <alignment horizontal="center" vertical="top" wrapText="1"/>
    </xf>
    <xf numFmtId="0" fontId="8" fillId="10" borderId="5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46" xfId="0" applyFont="1" applyFill="1" applyBorder="1" applyAlignment="1">
      <alignment horizontal="left" vertical="top" wrapText="1"/>
    </xf>
    <xf numFmtId="0" fontId="8" fillId="3" borderId="13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usiang.chia@crowe.sg" TargetMode="External"/><Relationship Id="rId2" Type="http://schemas.openxmlformats.org/officeDocument/2006/relationships/hyperlink" Target="mailto:shusiang.chia@crowe.sg" TargetMode="External"/><Relationship Id="rId1" Type="http://schemas.openxmlformats.org/officeDocument/2006/relationships/hyperlink" Target="mailto:shusiang.chia@crowe.s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husiang.chia@crowe.sg" TargetMode="External"/><Relationship Id="rId4" Type="http://schemas.openxmlformats.org/officeDocument/2006/relationships/hyperlink" Target="mailto:shusiang.chia@crowe.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C449C-0699-4816-9539-CD0C43381371}">
  <dimension ref="A1:AA151"/>
  <sheetViews>
    <sheetView tabSelected="1" zoomScale="85" zoomScaleNormal="85" workbookViewId="0"/>
  </sheetViews>
  <sheetFormatPr defaultColWidth="0" defaultRowHeight="17.149999999999999" customHeight="1" zeroHeight="1" x14ac:dyDescent="0.35"/>
  <cols>
    <col min="1" max="1" width="10.54296875" customWidth="1"/>
    <col min="2" max="2" width="18.81640625" customWidth="1"/>
    <col min="3" max="3" width="13.54296875" customWidth="1"/>
    <col min="4" max="4" width="22.453125" style="51" customWidth="1"/>
    <col min="5" max="5" width="9.453125" style="51" bestFit="1" customWidth="1"/>
    <col min="6" max="6" width="30.453125" customWidth="1"/>
    <col min="7" max="7" width="13.54296875" customWidth="1"/>
    <col min="8" max="8" width="15.26953125" customWidth="1"/>
    <col min="9" max="9" width="13.54296875" style="51" customWidth="1"/>
    <col min="10" max="10" width="15.453125" customWidth="1"/>
    <col min="11" max="11" width="16.7265625" customWidth="1"/>
    <col min="12" max="12" width="15.81640625" customWidth="1"/>
    <col min="13" max="13" width="16.7265625" customWidth="1"/>
    <col min="14" max="14" width="15.453125" customWidth="1"/>
    <col min="15" max="27" width="0" hidden="1" customWidth="1"/>
    <col min="28" max="16384" width="13.54296875" hidden="1"/>
  </cols>
  <sheetData>
    <row r="1" spans="1:15" s="74" customFormat="1" ht="17.149999999999999" customHeight="1" x14ac:dyDescent="0.35">
      <c r="A1" s="73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r="2" spans="1:15" s="7" customFormat="1" ht="17.149999999999999" customHeight="1" x14ac:dyDescent="0.35">
      <c r="A2" s="4" t="s">
        <v>0</v>
      </c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2"/>
    </row>
    <row r="3" spans="1:15" s="3" customFormat="1" ht="33" customHeight="1" x14ac:dyDescent="0.35">
      <c r="A3" s="142" t="s">
        <v>1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2"/>
    </row>
    <row r="4" spans="1:15" s="3" customFormat="1" ht="17.149999999999999" customHeight="1" thickBot="1" x14ac:dyDescent="0.4">
      <c r="A4" s="143"/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2"/>
    </row>
    <row r="5" spans="1:15" s="3" customFormat="1" ht="15" thickBot="1" x14ac:dyDescent="0.4">
      <c r="A5" s="124" t="s">
        <v>2</v>
      </c>
      <c r="B5" s="124" t="s">
        <v>3</v>
      </c>
      <c r="C5" s="121" t="s">
        <v>4</v>
      </c>
      <c r="D5" s="121" t="s">
        <v>5</v>
      </c>
      <c r="E5" s="121" t="s">
        <v>6</v>
      </c>
      <c r="F5" s="124" t="s">
        <v>7</v>
      </c>
      <c r="G5" s="126" t="s">
        <v>8</v>
      </c>
      <c r="H5" s="127"/>
      <c r="I5" s="127"/>
      <c r="J5" s="127"/>
      <c r="K5" s="141" t="s">
        <v>9</v>
      </c>
      <c r="L5" s="141"/>
      <c r="M5" s="141"/>
      <c r="N5" s="141"/>
      <c r="O5" s="8"/>
    </row>
    <row r="6" spans="1:15" s="3" customFormat="1" ht="15" thickBot="1" x14ac:dyDescent="0.4">
      <c r="A6" s="125"/>
      <c r="B6" s="125"/>
      <c r="C6" s="122"/>
      <c r="D6" s="122"/>
      <c r="E6" s="122"/>
      <c r="F6" s="125"/>
      <c r="G6" s="126" t="s">
        <v>10</v>
      </c>
      <c r="H6" s="140"/>
      <c r="I6" s="128" t="s">
        <v>11</v>
      </c>
      <c r="J6" s="129"/>
      <c r="K6" s="130" t="s">
        <v>10</v>
      </c>
      <c r="L6" s="131"/>
      <c r="M6" s="130" t="s">
        <v>11</v>
      </c>
      <c r="N6" s="131"/>
      <c r="O6" s="8"/>
    </row>
    <row r="7" spans="1:15" s="3" customFormat="1" ht="14.5" x14ac:dyDescent="0.35">
      <c r="A7" s="125"/>
      <c r="B7" s="125"/>
      <c r="C7" s="122"/>
      <c r="D7" s="122"/>
      <c r="E7" s="122"/>
      <c r="F7" s="125"/>
      <c r="G7" s="132" t="s">
        <v>12</v>
      </c>
      <c r="H7" s="134" t="s">
        <v>13</v>
      </c>
      <c r="I7" s="132" t="s">
        <v>12</v>
      </c>
      <c r="J7" s="134" t="s">
        <v>13</v>
      </c>
      <c r="K7" s="136" t="s">
        <v>14</v>
      </c>
      <c r="L7" s="138" t="s">
        <v>15</v>
      </c>
      <c r="M7" s="136" t="s">
        <v>14</v>
      </c>
      <c r="N7" s="138" t="s">
        <v>15</v>
      </c>
      <c r="O7" s="9"/>
    </row>
    <row r="8" spans="1:15" s="3" customFormat="1" ht="15" thickBot="1" x14ac:dyDescent="0.4">
      <c r="A8" s="144"/>
      <c r="B8" s="144"/>
      <c r="C8" s="123"/>
      <c r="D8" s="123"/>
      <c r="E8" s="123"/>
      <c r="F8" s="75" t="s">
        <v>16</v>
      </c>
      <c r="G8" s="133"/>
      <c r="H8" s="135"/>
      <c r="I8" s="133"/>
      <c r="J8" s="135"/>
      <c r="K8" s="137"/>
      <c r="L8" s="139"/>
      <c r="M8" s="137"/>
      <c r="N8" s="139"/>
      <c r="O8" s="9"/>
    </row>
    <row r="9" spans="1:15" s="16" customFormat="1" ht="17.149999999999999" customHeight="1" x14ac:dyDescent="0.35">
      <c r="A9" s="106">
        <v>1</v>
      </c>
      <c r="B9" s="109" t="s">
        <v>17</v>
      </c>
      <c r="C9" s="112" t="s">
        <v>18</v>
      </c>
      <c r="D9" s="115" t="s">
        <v>19</v>
      </c>
      <c r="E9" s="118" t="s">
        <v>20</v>
      </c>
      <c r="F9" s="10" t="s">
        <v>21</v>
      </c>
      <c r="G9" s="11">
        <v>1656</v>
      </c>
      <c r="H9" s="52" t="str">
        <f>HYPERLINK("https://smesgodigital.gov.sg/web/solution/CISOAASCE_201709156Z20260108_HIB_1","S$5,520.00")</f>
        <v>S$5,520.00</v>
      </c>
      <c r="I9" s="11">
        <v>1721</v>
      </c>
      <c r="J9" s="55" t="str">
        <f>HYPERLINK("https://smesgodigital.gov.sg/web/solution/CISOAASCE_201709156Z20260108_HIMS_1","S$5,736.00")</f>
        <v>S$5,736.00</v>
      </c>
      <c r="K9" s="12">
        <v>90</v>
      </c>
      <c r="L9" s="13">
        <v>400</v>
      </c>
      <c r="M9" s="11">
        <v>90</v>
      </c>
      <c r="N9" s="14">
        <v>520</v>
      </c>
      <c r="O9" s="15"/>
    </row>
    <row r="10" spans="1:15" s="16" customFormat="1" ht="17.149999999999999" customHeight="1" x14ac:dyDescent="0.35">
      <c r="A10" s="107"/>
      <c r="B10" s="110"/>
      <c r="C10" s="113"/>
      <c r="D10" s="116"/>
      <c r="E10" s="119"/>
      <c r="F10" s="17" t="s">
        <v>22</v>
      </c>
      <c r="G10" s="18">
        <v>1929</v>
      </c>
      <c r="H10" s="53" t="str">
        <f>HYPERLINK("https://smesgodigital.gov.sg/web/solution/CISOAASCE_201709156Z20260108_HIB_2","S$6,240.00")</f>
        <v>S$6,240.00</v>
      </c>
      <c r="I10" s="18">
        <v>2210</v>
      </c>
      <c r="J10" s="56" t="str">
        <f>HYPERLINK("https://smesgodigital.gov.sg/web/solution/CISOAASCE_201709156Z20260108_HIMS_2","S$6,672.00")</f>
        <v>S$6,672.00</v>
      </c>
      <c r="K10" s="21">
        <v>90</v>
      </c>
      <c r="L10" s="22">
        <v>400</v>
      </c>
      <c r="M10" s="18">
        <v>90</v>
      </c>
      <c r="N10" s="23">
        <v>520</v>
      </c>
      <c r="O10" s="15"/>
    </row>
    <row r="11" spans="1:15" s="16" customFormat="1" ht="17.149999999999999" customHeight="1" x14ac:dyDescent="0.35">
      <c r="A11" s="107"/>
      <c r="B11" s="110"/>
      <c r="C11" s="113"/>
      <c r="D11" s="116"/>
      <c r="E11" s="119"/>
      <c r="F11" s="17" t="s">
        <v>23</v>
      </c>
      <c r="G11" s="24">
        <v>2978</v>
      </c>
      <c r="H11" s="54" t="str">
        <f>HYPERLINK("https://smesgodigital.gov.sg/web/solution/CISOAASCE_201709156Z20260108_HIB_3","S$8,840.00")</f>
        <v>S$8,840.00</v>
      </c>
      <c r="I11" s="24">
        <v>3079</v>
      </c>
      <c r="J11" s="57" t="str">
        <f>HYPERLINK("https://smesgodigital.gov.sg/web/solution/CISOAASCE_201709156Z20260108_HIMS_3","S$9,452.00")</f>
        <v>S$9,452.00</v>
      </c>
      <c r="K11" s="27">
        <v>90</v>
      </c>
      <c r="L11" s="28">
        <v>600</v>
      </c>
      <c r="M11" s="24">
        <v>90</v>
      </c>
      <c r="N11" s="29">
        <v>780</v>
      </c>
      <c r="O11" s="15"/>
    </row>
    <row r="12" spans="1:15" s="16" customFormat="1" ht="17.149999999999999" customHeight="1" x14ac:dyDescent="0.35">
      <c r="A12" s="107"/>
      <c r="B12" s="110"/>
      <c r="C12" s="113"/>
      <c r="D12" s="116"/>
      <c r="E12" s="119"/>
      <c r="F12" s="30" t="s">
        <v>24</v>
      </c>
      <c r="G12" s="18">
        <v>6001</v>
      </c>
      <c r="H12" s="53" t="str">
        <f>HYPERLINK("https://smesgodigital.gov.sg/web/solution/CISOAASCE_201709156Z20260108_HIB_4","S$15,340.00")</f>
        <v>S$15,340.00</v>
      </c>
      <c r="I12" s="18">
        <v>6471</v>
      </c>
      <c r="J12" s="56" t="str">
        <f>HYPERLINK("https://smesgodigital.gov.sg/web/solution/CISOAASCE_201709156Z20260108_HIMS_4","S$16,402.00")</f>
        <v>S$16,402.00</v>
      </c>
      <c r="K12" s="21">
        <v>90</v>
      </c>
      <c r="L12" s="22">
        <v>1200</v>
      </c>
      <c r="M12" s="18">
        <v>90</v>
      </c>
      <c r="N12" s="23">
        <v>1560</v>
      </c>
      <c r="O12" s="15"/>
    </row>
    <row r="13" spans="1:15" s="16" customFormat="1" ht="17.149999999999999" customHeight="1" x14ac:dyDescent="0.35">
      <c r="A13" s="107"/>
      <c r="B13" s="110"/>
      <c r="C13" s="113"/>
      <c r="D13" s="116"/>
      <c r="E13" s="119"/>
      <c r="F13" s="30" t="s">
        <v>25</v>
      </c>
      <c r="G13" s="24">
        <v>8761</v>
      </c>
      <c r="H13" s="54" t="str">
        <f>HYPERLINK("https://smesgodigital.gov.sg/web/solution/CISOAASCE_201709156Z20260108_HIB_5","S$23,400.00")</f>
        <v>S$23,400.00</v>
      </c>
      <c r="I13" s="24">
        <v>9652</v>
      </c>
      <c r="J13" s="57" t="str">
        <f>HYPERLINK("https://smesgodigital.gov.sg/web/solution/CISOAASCE_201709156Z20260108_HIMS_5","S$25,020.00")</f>
        <v>S$25,020.00</v>
      </c>
      <c r="K13" s="27">
        <v>90</v>
      </c>
      <c r="L13" s="28">
        <v>2000</v>
      </c>
      <c r="M13" s="24">
        <v>90</v>
      </c>
      <c r="N13" s="29">
        <v>2600</v>
      </c>
      <c r="O13" s="15"/>
    </row>
    <row r="14" spans="1:15" s="16" customFormat="1" ht="17.149999999999999" customHeight="1" x14ac:dyDescent="0.35">
      <c r="A14" s="107"/>
      <c r="B14" s="110"/>
      <c r="C14" s="113"/>
      <c r="D14" s="116"/>
      <c r="E14" s="119"/>
      <c r="F14" s="30" t="s">
        <v>26</v>
      </c>
      <c r="G14" s="18">
        <v>14802</v>
      </c>
      <c r="H14" s="53" t="str">
        <f>HYPERLINK("https://smesgodigital.gov.sg/web/solution/CISOAASCE_201709156Z20260108_HIB_6","S$36,400.00")</f>
        <v>S$36,400.00</v>
      </c>
      <c r="I14" s="18">
        <v>16408</v>
      </c>
      <c r="J14" s="56" t="str">
        <f>HYPERLINK("https://smesgodigital.gov.sg/web/solution/CISOAASCE_201709156Z20260108_HIMS_6","S$38,920.00")</f>
        <v>S$38,920.00</v>
      </c>
      <c r="K14" s="21">
        <v>90</v>
      </c>
      <c r="L14" s="22">
        <v>4000</v>
      </c>
      <c r="M14" s="18">
        <v>90</v>
      </c>
      <c r="N14" s="23">
        <v>5200</v>
      </c>
      <c r="O14" s="15"/>
    </row>
    <row r="15" spans="1:15" s="16" customFormat="1" ht="17.149999999999999" customHeight="1" x14ac:dyDescent="0.35">
      <c r="A15" s="107"/>
      <c r="B15" s="110"/>
      <c r="C15" s="113"/>
      <c r="D15" s="116"/>
      <c r="E15" s="119"/>
      <c r="F15" s="30" t="s">
        <v>27</v>
      </c>
      <c r="G15" s="31"/>
      <c r="H15" s="29">
        <v>18200</v>
      </c>
      <c r="I15" s="32"/>
      <c r="J15" s="29">
        <v>19460</v>
      </c>
      <c r="K15" s="27">
        <v>90</v>
      </c>
      <c r="L15" s="28">
        <v>1200</v>
      </c>
      <c r="M15" s="24">
        <v>90</v>
      </c>
      <c r="N15" s="29">
        <v>1560</v>
      </c>
      <c r="O15" s="15"/>
    </row>
    <row r="16" spans="1:15" s="16" customFormat="1" ht="17.149999999999999" customHeight="1" thickBot="1" x14ac:dyDescent="0.4">
      <c r="A16" s="108"/>
      <c r="B16" s="111"/>
      <c r="C16" s="114"/>
      <c r="D16" s="117"/>
      <c r="E16" s="120"/>
      <c r="F16" s="33" t="s">
        <v>28</v>
      </c>
      <c r="G16" s="34"/>
      <c r="H16" s="35">
        <v>18200</v>
      </c>
      <c r="I16" s="36"/>
      <c r="J16" s="35">
        <v>19460</v>
      </c>
      <c r="K16" s="37">
        <v>90</v>
      </c>
      <c r="L16" s="38">
        <v>1200</v>
      </c>
      <c r="M16" s="39">
        <v>90</v>
      </c>
      <c r="N16" s="35">
        <v>1560</v>
      </c>
      <c r="O16" s="15"/>
    </row>
    <row r="17" spans="1:23" s="16" customFormat="1" ht="17.149999999999999" customHeight="1" x14ac:dyDescent="0.35">
      <c r="A17" s="106">
        <v>2</v>
      </c>
      <c r="B17" s="109" t="s">
        <v>43</v>
      </c>
      <c r="C17" s="112" t="s">
        <v>44</v>
      </c>
      <c r="D17" s="115" t="s">
        <v>45</v>
      </c>
      <c r="E17" s="118" t="s">
        <v>46</v>
      </c>
      <c r="F17" s="10" t="s">
        <v>21</v>
      </c>
      <c r="G17" s="11">
        <v>6107</v>
      </c>
      <c r="H17" s="52" t="str">
        <f>HYPERLINK("https://smesgodigital.gov.sg/web/solution/CISOAASCE_201111207G20260325_HIB_1","S$10,000.00")</f>
        <v>S$10,000.00</v>
      </c>
      <c r="I17" s="11">
        <v>5885</v>
      </c>
      <c r="J17" s="55" t="str">
        <f>HYPERLINK("https://smesgodigital.gov.sg/web/solution/CISOAASCE_201111207G20260325_HIMS_1","S$10,000.00")</f>
        <v>S$10,000.00</v>
      </c>
      <c r="K17" s="12">
        <v>200</v>
      </c>
      <c r="L17" s="13">
        <v>600</v>
      </c>
      <c r="M17" s="11">
        <v>200</v>
      </c>
      <c r="N17" s="14">
        <v>600</v>
      </c>
      <c r="O17" s="15"/>
      <c r="P17" s="40"/>
      <c r="Q17" s="41"/>
      <c r="R17" s="40"/>
      <c r="S17" s="42"/>
      <c r="T17" s="43"/>
      <c r="U17" s="44"/>
      <c r="V17" s="43"/>
      <c r="W17" s="44"/>
    </row>
    <row r="18" spans="1:23" s="16" customFormat="1" ht="17.149999999999999" customHeight="1" x14ac:dyDescent="0.35">
      <c r="A18" s="107"/>
      <c r="B18" s="110"/>
      <c r="C18" s="113"/>
      <c r="D18" s="116"/>
      <c r="E18" s="119"/>
      <c r="F18" s="17" t="s">
        <v>22</v>
      </c>
      <c r="G18" s="18">
        <v>5689</v>
      </c>
      <c r="H18" s="53" t="str">
        <f>HYPERLINK("https://smesgodigital.gov.sg/web/solution/CISOAASCE_201111207G20260325_HIB_2","S$10,000.00")</f>
        <v>S$10,000.00</v>
      </c>
      <c r="I18" s="18">
        <v>5538</v>
      </c>
      <c r="J18" s="56" t="str">
        <f>HYPERLINK("https://smesgodigital.gov.sg/web/solution/CISOAASCE_201111207G20260325_HIMS_2","S$10,000.00")</f>
        <v>S$10,000.00</v>
      </c>
      <c r="K18" s="21">
        <v>200</v>
      </c>
      <c r="L18" s="22">
        <v>600</v>
      </c>
      <c r="M18" s="18">
        <v>200</v>
      </c>
      <c r="N18" s="23">
        <v>600</v>
      </c>
      <c r="O18" s="15"/>
      <c r="P18" s="18"/>
      <c r="Q18" s="19"/>
      <c r="R18" s="18"/>
      <c r="S18" s="20"/>
      <c r="T18" s="21"/>
      <c r="U18" s="22"/>
      <c r="V18" s="21"/>
      <c r="W18" s="22"/>
    </row>
    <row r="19" spans="1:23" s="16" customFormat="1" ht="17.149999999999999" customHeight="1" x14ac:dyDescent="0.35">
      <c r="A19" s="107"/>
      <c r="B19" s="110"/>
      <c r="C19" s="113"/>
      <c r="D19" s="116"/>
      <c r="E19" s="119"/>
      <c r="F19" s="17" t="s">
        <v>23</v>
      </c>
      <c r="G19" s="24">
        <v>4138</v>
      </c>
      <c r="H19" s="54" t="str">
        <f>HYPERLINK("https://smesgodigital.gov.sg/web/solution/CISOAASCE_201111207G20260325_HIB_3","S$10,000.00")</f>
        <v>S$10,000.00</v>
      </c>
      <c r="I19" s="24">
        <v>3627</v>
      </c>
      <c r="J19" s="57" t="str">
        <f>HYPERLINK("https://smesgodigital.gov.sg/web/solution/CISOAASCE_201111207G20260325_HIMS_3","S$10,000.00")</f>
        <v>S$10,000.00</v>
      </c>
      <c r="K19" s="27">
        <v>200</v>
      </c>
      <c r="L19" s="28">
        <v>600</v>
      </c>
      <c r="M19" s="24">
        <v>200</v>
      </c>
      <c r="N19" s="29">
        <v>600</v>
      </c>
      <c r="O19" s="15"/>
      <c r="P19" s="24"/>
      <c r="Q19" s="25"/>
      <c r="R19" s="24"/>
      <c r="S19" s="26"/>
      <c r="T19" s="27"/>
      <c r="U19" s="28"/>
      <c r="V19" s="27"/>
      <c r="W19" s="28"/>
    </row>
    <row r="20" spans="1:23" s="16" customFormat="1" ht="17.149999999999999" customHeight="1" x14ac:dyDescent="0.35">
      <c r="A20" s="107"/>
      <c r="B20" s="110"/>
      <c r="C20" s="113"/>
      <c r="D20" s="116"/>
      <c r="E20" s="119"/>
      <c r="F20" s="30" t="s">
        <v>24</v>
      </c>
      <c r="G20" s="18">
        <v>3000</v>
      </c>
      <c r="H20" s="53" t="str">
        <f>HYPERLINK("https://smesgodigital.gov.sg/web/solution/CISOAASCE_201111207G20260325_HIB_4","S$10,000.00")</f>
        <v>S$10,000.00</v>
      </c>
      <c r="I20" s="18">
        <v>3000</v>
      </c>
      <c r="J20" s="56" t="str">
        <f>HYPERLINK("https://smesgodigital.gov.sg/web/solution/CISOAASCE_201111207G20260325_HIMS_4","S$10,000.00")</f>
        <v>S$10,000.00</v>
      </c>
      <c r="K20" s="21">
        <v>200</v>
      </c>
      <c r="L20" s="22">
        <v>800</v>
      </c>
      <c r="M20" s="18">
        <v>200</v>
      </c>
      <c r="N20" s="23">
        <v>800</v>
      </c>
      <c r="O20" s="15"/>
      <c r="P20" s="18"/>
      <c r="Q20" s="19"/>
      <c r="R20" s="18"/>
      <c r="S20" s="20"/>
      <c r="T20" s="21"/>
      <c r="U20" s="22"/>
      <c r="V20" s="21"/>
      <c r="W20" s="22"/>
    </row>
    <row r="21" spans="1:23" s="16" customFormat="1" ht="17.149999999999999" customHeight="1" x14ac:dyDescent="0.35">
      <c r="A21" s="107"/>
      <c r="B21" s="110"/>
      <c r="C21" s="113"/>
      <c r="D21" s="116"/>
      <c r="E21" s="119"/>
      <c r="F21" s="30" t="s">
        <v>25</v>
      </c>
      <c r="G21" s="24">
        <v>6000</v>
      </c>
      <c r="H21" s="54" t="str">
        <f>HYPERLINK("https://smesgodigital.gov.sg/web/solution/CISOAASCE_201111207G20260325_HIB_5","S$20,000.00")</f>
        <v>S$20,000.00</v>
      </c>
      <c r="I21" s="66">
        <v>6632</v>
      </c>
      <c r="J21" s="57" t="str">
        <f>HYPERLINK("https://smesgodigital.gov.sg/web/solution/CISOAASCE_201111207G20260325_HIMS_5","S$22,000.00")</f>
        <v>S$22,000.00</v>
      </c>
      <c r="K21" s="27">
        <v>200</v>
      </c>
      <c r="L21" s="28">
        <v>950</v>
      </c>
      <c r="M21" s="24">
        <v>200</v>
      </c>
      <c r="N21" s="29">
        <v>950</v>
      </c>
      <c r="O21" s="15"/>
      <c r="P21" s="24"/>
      <c r="Q21" s="25"/>
      <c r="R21" s="24"/>
      <c r="S21" s="26"/>
      <c r="T21" s="27"/>
      <c r="U21" s="28"/>
      <c r="V21" s="27"/>
      <c r="W21" s="28"/>
    </row>
    <row r="22" spans="1:23" s="16" customFormat="1" ht="17.149999999999999" customHeight="1" x14ac:dyDescent="0.35">
      <c r="A22" s="107"/>
      <c r="B22" s="110"/>
      <c r="C22" s="113"/>
      <c r="D22" s="116"/>
      <c r="E22" s="119"/>
      <c r="F22" s="30" t="s">
        <v>26</v>
      </c>
      <c r="G22" s="18">
        <v>9000</v>
      </c>
      <c r="H22" s="53" t="str">
        <f>HYPERLINK("https://smesgodigital.gov.sg/web/solution/CISOAASCE_201111207G20260325_HIB_6","S$30,000.00")</f>
        <v>S$30,000.00</v>
      </c>
      <c r="I22" s="67">
        <v>9600</v>
      </c>
      <c r="J22" s="56" t="str">
        <f>HYPERLINK("https://smesgodigital.gov.sg/web/solution/CISOAASCE_201111207G20260325_HIMS_6","S$32,000.00")</f>
        <v>S$32,000.00</v>
      </c>
      <c r="K22" s="21">
        <v>200</v>
      </c>
      <c r="L22" s="22">
        <v>950</v>
      </c>
      <c r="M22" s="18">
        <v>200</v>
      </c>
      <c r="N22" s="23">
        <v>950</v>
      </c>
      <c r="O22" s="15"/>
      <c r="P22" s="18"/>
      <c r="Q22" s="19"/>
      <c r="R22" s="18"/>
      <c r="S22" s="20"/>
      <c r="T22" s="21"/>
      <c r="U22" s="22"/>
      <c r="V22" s="21"/>
      <c r="W22" s="22"/>
    </row>
    <row r="23" spans="1:23" s="16" customFormat="1" ht="17.149999999999999" customHeight="1" x14ac:dyDescent="0.35">
      <c r="A23" s="107"/>
      <c r="B23" s="110"/>
      <c r="C23" s="113"/>
      <c r="D23" s="116"/>
      <c r="E23" s="119"/>
      <c r="F23" s="30" t="s">
        <v>27</v>
      </c>
      <c r="G23" s="31"/>
      <c r="H23" s="29">
        <v>13500</v>
      </c>
      <c r="I23" s="62"/>
      <c r="J23" s="29">
        <v>15000</v>
      </c>
      <c r="K23" s="27">
        <v>200</v>
      </c>
      <c r="L23" s="28">
        <v>950</v>
      </c>
      <c r="M23" s="24">
        <v>200</v>
      </c>
      <c r="N23" s="29">
        <v>950</v>
      </c>
      <c r="O23" s="15"/>
      <c r="P23" s="31"/>
      <c r="Q23" s="29"/>
      <c r="R23" s="32"/>
      <c r="S23" s="29"/>
      <c r="T23" s="27"/>
      <c r="U23" s="28"/>
      <c r="V23" s="27"/>
      <c r="W23" s="28"/>
    </row>
    <row r="24" spans="1:23" s="16" customFormat="1" ht="17.149999999999999" customHeight="1" thickBot="1" x14ac:dyDescent="0.4">
      <c r="A24" s="107"/>
      <c r="B24" s="111"/>
      <c r="C24" s="113"/>
      <c r="D24" s="117"/>
      <c r="E24" s="119"/>
      <c r="F24" s="33" t="s">
        <v>28</v>
      </c>
      <c r="G24" s="34"/>
      <c r="H24" s="35">
        <v>13500</v>
      </c>
      <c r="I24" s="68"/>
      <c r="J24" s="35">
        <v>15000</v>
      </c>
      <c r="K24" s="37">
        <v>200</v>
      </c>
      <c r="L24" s="38">
        <v>950</v>
      </c>
      <c r="M24" s="39">
        <v>200</v>
      </c>
      <c r="N24" s="35">
        <v>950</v>
      </c>
      <c r="O24" s="15"/>
      <c r="P24" s="31"/>
      <c r="Q24" s="29"/>
      <c r="R24" s="32"/>
      <c r="S24" s="29"/>
      <c r="T24" s="27"/>
      <c r="U24" s="28"/>
      <c r="V24" s="27"/>
      <c r="W24" s="28"/>
    </row>
    <row r="25" spans="1:23" s="16" customFormat="1" ht="17.149999999999999" customHeight="1" x14ac:dyDescent="0.35">
      <c r="A25" s="106">
        <v>3</v>
      </c>
      <c r="B25" s="109" t="s">
        <v>29</v>
      </c>
      <c r="C25" s="112" t="s">
        <v>30</v>
      </c>
      <c r="D25" s="115" t="s">
        <v>31</v>
      </c>
      <c r="E25" s="118" t="s">
        <v>32</v>
      </c>
      <c r="F25" s="10" t="s">
        <v>21</v>
      </c>
      <c r="G25" s="40">
        <v>1470</v>
      </c>
      <c r="H25" s="58" t="str">
        <f>HYPERLINK("https://smesgodigital.gov.sg/web/solution/CISOAASCE_202119271G20260210_HIB_1","S$4,900.00")</f>
        <v>S$4,900.00</v>
      </c>
      <c r="I25" s="69">
        <v>1560</v>
      </c>
      <c r="J25" s="59" t="str">
        <f>HYPERLINK("https://smesgodigital.gov.sg/web/solution/CISOAASCE_202119271G20260210_HIMS_1","S$5,200.00")</f>
        <v>S$5,200.00</v>
      </c>
      <c r="K25" s="43">
        <v>100</v>
      </c>
      <c r="L25" s="44">
        <v>500</v>
      </c>
      <c r="M25" s="40">
        <v>100</v>
      </c>
      <c r="N25" s="45">
        <v>500</v>
      </c>
      <c r="O25" s="46"/>
    </row>
    <row r="26" spans="1:23" s="16" customFormat="1" ht="17.149999999999999" customHeight="1" x14ac:dyDescent="0.35">
      <c r="A26" s="107"/>
      <c r="B26" s="110"/>
      <c r="C26" s="113"/>
      <c r="D26" s="116"/>
      <c r="E26" s="119"/>
      <c r="F26" s="17" t="s">
        <v>22</v>
      </c>
      <c r="G26" s="18">
        <v>1470</v>
      </c>
      <c r="H26" s="53" t="str">
        <f>HYPERLINK("https://smesgodigital.gov.sg/web/solution/CISOAASCE_202119271G20260210_HIB_2","S$4,900.00")</f>
        <v>S$4,900.00</v>
      </c>
      <c r="I26" s="67">
        <v>1560</v>
      </c>
      <c r="J26" s="56" t="str">
        <f>HYPERLINK("https://smesgodigital.gov.sg/web/solution/CISOAASCE_202119271G20260210_HIMS_2","S$5,200.00")</f>
        <v>S$5,200.00</v>
      </c>
      <c r="K26" s="21">
        <v>100</v>
      </c>
      <c r="L26" s="22">
        <v>500</v>
      </c>
      <c r="M26" s="18">
        <v>100</v>
      </c>
      <c r="N26" s="23">
        <v>500</v>
      </c>
      <c r="O26" s="46"/>
    </row>
    <row r="27" spans="1:23" s="16" customFormat="1" ht="17.149999999999999" customHeight="1" x14ac:dyDescent="0.35">
      <c r="A27" s="107"/>
      <c r="B27" s="110"/>
      <c r="C27" s="113"/>
      <c r="D27" s="116"/>
      <c r="E27" s="119"/>
      <c r="F27" s="17" t="s">
        <v>23</v>
      </c>
      <c r="G27" s="24">
        <v>1470</v>
      </c>
      <c r="H27" s="54" t="str">
        <f>HYPERLINK("https://smesgodigital.gov.sg/web/solution/CISOAASCE_202119271G20260210_HIB_3","S$4,900.00")</f>
        <v>S$4,900.00</v>
      </c>
      <c r="I27" s="66">
        <v>1560</v>
      </c>
      <c r="J27" s="57" t="str">
        <f>HYPERLINK("https://smesgodigital.gov.sg/web/solution/CISOAASCE_202119271G20260210_HIMS_3","S$5,200.00")</f>
        <v>S$5,200.00</v>
      </c>
      <c r="K27" s="27">
        <v>100</v>
      </c>
      <c r="L27" s="28">
        <v>560</v>
      </c>
      <c r="M27" s="24">
        <v>100</v>
      </c>
      <c r="N27" s="29">
        <v>560</v>
      </c>
      <c r="O27" s="46"/>
    </row>
    <row r="28" spans="1:23" s="16" customFormat="1" ht="17.149999999999999" customHeight="1" x14ac:dyDescent="0.35">
      <c r="A28" s="107"/>
      <c r="B28" s="110"/>
      <c r="C28" s="113"/>
      <c r="D28" s="116"/>
      <c r="E28" s="119"/>
      <c r="F28" s="30" t="s">
        <v>24</v>
      </c>
      <c r="G28" s="18">
        <v>2790</v>
      </c>
      <c r="H28" s="53" t="str">
        <f>HYPERLINK("https://smesgodigital.gov.sg/web/solution/CISOAASCE_202119271G20260210_HIB_4","S$9,300.00")</f>
        <v>S$9,300.00</v>
      </c>
      <c r="I28" s="67">
        <v>2940</v>
      </c>
      <c r="J28" s="56" t="str">
        <f>HYPERLINK("https://smesgodigital.gov.sg/web/solution/CISOAASCE_202119271G20260210_HIMS_4","S$9,800.00")</f>
        <v>S$9,800.00</v>
      </c>
      <c r="K28" s="21">
        <v>210</v>
      </c>
      <c r="L28" s="22">
        <v>1140</v>
      </c>
      <c r="M28" s="18">
        <v>210</v>
      </c>
      <c r="N28" s="23">
        <v>1140</v>
      </c>
      <c r="O28" s="46"/>
    </row>
    <row r="29" spans="1:23" s="16" customFormat="1" ht="17.149999999999999" customHeight="1" x14ac:dyDescent="0.35">
      <c r="A29" s="107"/>
      <c r="B29" s="110"/>
      <c r="C29" s="113"/>
      <c r="D29" s="116"/>
      <c r="E29" s="119"/>
      <c r="F29" s="30" t="s">
        <v>25</v>
      </c>
      <c r="G29" s="24">
        <v>4764</v>
      </c>
      <c r="H29" s="54" t="str">
        <f>HYPERLINK("https://smesgodigital.gov.sg/web/solution/CISOAASCE_202119271G20260210_HIB_5","S$15,880.00")</f>
        <v>S$15,880.00</v>
      </c>
      <c r="I29" s="66">
        <v>5064</v>
      </c>
      <c r="J29" s="57" t="str">
        <f>HYPERLINK("https://smesgodigital.gov.sg/web/solution/CISOAASCE_202119271G20260210_HIMS_5","S$16,880.00")</f>
        <v>S$16,880.00</v>
      </c>
      <c r="K29" s="27">
        <v>320</v>
      </c>
      <c r="L29" s="28">
        <v>1980</v>
      </c>
      <c r="M29" s="24">
        <v>320</v>
      </c>
      <c r="N29" s="29">
        <v>1980</v>
      </c>
      <c r="O29" s="46"/>
    </row>
    <row r="30" spans="1:23" s="16" customFormat="1" ht="17.149999999999999" customHeight="1" x14ac:dyDescent="0.35">
      <c r="A30" s="107"/>
      <c r="B30" s="110"/>
      <c r="C30" s="113"/>
      <c r="D30" s="116"/>
      <c r="E30" s="119"/>
      <c r="F30" s="30" t="s">
        <v>26</v>
      </c>
      <c r="G30" s="18">
        <v>6840</v>
      </c>
      <c r="H30" s="53" t="str">
        <f>HYPERLINK("https://smesgodigital.gov.sg/web/solution/CISOAASCE_202119271G20260210_HIB_6","S$22,800.00")</f>
        <v>S$22,800.00</v>
      </c>
      <c r="I30" s="67">
        <v>7440</v>
      </c>
      <c r="J30" s="56" t="str">
        <f>HYPERLINK("https://smesgodigital.gov.sg/web/solution/CISOAASCE_202119271G20260210_HIMS_6","S$24,800.00")</f>
        <v>S$24,800.00</v>
      </c>
      <c r="K30" s="21">
        <v>590</v>
      </c>
      <c r="L30" s="22">
        <v>3180</v>
      </c>
      <c r="M30" s="18">
        <v>590</v>
      </c>
      <c r="N30" s="23">
        <v>3180</v>
      </c>
      <c r="O30" s="46"/>
    </row>
    <row r="31" spans="1:23" s="16" customFormat="1" ht="17.149999999999999" customHeight="1" x14ac:dyDescent="0.35">
      <c r="A31" s="107"/>
      <c r="B31" s="110"/>
      <c r="C31" s="113"/>
      <c r="D31" s="116"/>
      <c r="E31" s="119"/>
      <c r="F31" s="30" t="s">
        <v>27</v>
      </c>
      <c r="G31" s="60"/>
      <c r="H31" s="61">
        <v>8000</v>
      </c>
      <c r="I31" s="62"/>
      <c r="J31" s="61">
        <v>9000</v>
      </c>
      <c r="K31" s="27">
        <v>320</v>
      </c>
      <c r="L31" s="28">
        <v>1680</v>
      </c>
      <c r="M31" s="24">
        <v>320</v>
      </c>
      <c r="N31" s="29">
        <v>1680</v>
      </c>
      <c r="O31" s="46"/>
    </row>
    <row r="32" spans="1:23" s="16" customFormat="1" ht="17.149999999999999" customHeight="1" thickBot="1" x14ac:dyDescent="0.4">
      <c r="A32" s="107"/>
      <c r="B32" s="110"/>
      <c r="C32" s="113"/>
      <c r="D32" s="117"/>
      <c r="E32" s="119"/>
      <c r="F32" s="33" t="s">
        <v>28</v>
      </c>
      <c r="G32" s="63"/>
      <c r="H32" s="64">
        <v>12000</v>
      </c>
      <c r="I32" s="65"/>
      <c r="J32" s="64">
        <v>13000</v>
      </c>
      <c r="K32" s="48">
        <v>360</v>
      </c>
      <c r="L32" s="49">
        <v>1680</v>
      </c>
      <c r="M32" s="50">
        <v>360</v>
      </c>
      <c r="N32" s="47">
        <v>1680</v>
      </c>
      <c r="O32" s="46"/>
    </row>
    <row r="33" spans="1:15" s="16" customFormat="1" ht="17.149999999999999" customHeight="1" x14ac:dyDescent="0.35">
      <c r="A33" s="106">
        <v>4</v>
      </c>
      <c r="B33" s="109" t="s">
        <v>65</v>
      </c>
      <c r="C33" s="112" t="s">
        <v>66</v>
      </c>
      <c r="D33" s="115" t="s">
        <v>67</v>
      </c>
      <c r="E33" s="118" t="s">
        <v>68</v>
      </c>
      <c r="F33" s="10" t="s">
        <v>21</v>
      </c>
      <c r="G33" s="11">
        <v>1260</v>
      </c>
      <c r="H33" s="52" t="str">
        <f>HYPERLINK("https://smesgodigital.gov.sg/web/solution/CISOAASCE_201924718Z20260715_HIB_1","S$4,200.00")</f>
        <v>S$4,200.00</v>
      </c>
      <c r="I33" s="70">
        <v>1440</v>
      </c>
      <c r="J33" s="55" t="str">
        <f>HYPERLINK("https://smesgodigital.gov.sg/web/solution/CISOAASCE_201924718Z20260715_HIMS_1","S$4,800.00")</f>
        <v>S$4,800.00</v>
      </c>
      <c r="K33" s="84"/>
      <c r="L33" s="13">
        <v>500</v>
      </c>
      <c r="M33" s="84"/>
      <c r="N33" s="14">
        <v>600</v>
      </c>
      <c r="O33" s="46"/>
    </row>
    <row r="34" spans="1:15" s="16" customFormat="1" ht="17.149999999999999" customHeight="1" x14ac:dyDescent="0.35">
      <c r="A34" s="107"/>
      <c r="B34" s="110"/>
      <c r="C34" s="113"/>
      <c r="D34" s="116"/>
      <c r="E34" s="119"/>
      <c r="F34" s="17" t="s">
        <v>22</v>
      </c>
      <c r="G34" s="18">
        <v>1440</v>
      </c>
      <c r="H34" s="53" t="str">
        <f>HYPERLINK("https://smesgodigital.gov.sg/web/solution/CISOAASCE_201924718Z20260715_HIB_2","S$4,800.00")</f>
        <v>S$4,800.00</v>
      </c>
      <c r="I34" s="67">
        <v>1620</v>
      </c>
      <c r="J34" s="56" t="str">
        <f>HYPERLINK("https://smesgodigital.gov.sg/web/solution/CISOAASCE_201924718Z20260715_HIMS_2","S$5,400.00")</f>
        <v>S$5,400.00</v>
      </c>
      <c r="K34" s="62"/>
      <c r="L34" s="22">
        <v>600</v>
      </c>
      <c r="M34" s="62"/>
      <c r="N34" s="23">
        <v>680</v>
      </c>
      <c r="O34" s="46"/>
    </row>
    <row r="35" spans="1:15" s="16" customFormat="1" ht="17.149999999999999" customHeight="1" x14ac:dyDescent="0.35">
      <c r="A35" s="107"/>
      <c r="B35" s="110"/>
      <c r="C35" s="113"/>
      <c r="D35" s="116"/>
      <c r="E35" s="119"/>
      <c r="F35" s="17" t="s">
        <v>23</v>
      </c>
      <c r="G35" s="24">
        <v>2010</v>
      </c>
      <c r="H35" s="54" t="str">
        <f>HYPERLINK("https://smesgodigital.gov.sg/web/solution/CISOAASCE_201924718Z20260715_HIB_3","S$6,700.00")</f>
        <v>S$6,700.00</v>
      </c>
      <c r="I35" s="66">
        <v>2190</v>
      </c>
      <c r="J35" s="57" t="str">
        <f>HYPERLINK("https://smesgodigital.gov.sg/web/solution/CISOAASCE_201924718Z20260715_HIMS_3","S$7,300.00")</f>
        <v>S$7,300.00</v>
      </c>
      <c r="K35" s="62"/>
      <c r="L35" s="28">
        <v>1100</v>
      </c>
      <c r="M35" s="62"/>
      <c r="N35" s="29">
        <v>1250</v>
      </c>
      <c r="O35" s="46"/>
    </row>
    <row r="36" spans="1:15" s="16" customFormat="1" ht="17.149999999999999" customHeight="1" x14ac:dyDescent="0.35">
      <c r="A36" s="107"/>
      <c r="B36" s="110"/>
      <c r="C36" s="113"/>
      <c r="D36" s="116"/>
      <c r="E36" s="119"/>
      <c r="F36" s="30" t="s">
        <v>24</v>
      </c>
      <c r="G36" s="18">
        <v>2790</v>
      </c>
      <c r="H36" s="53" t="str">
        <f>HYPERLINK("https://smesgodigital.gov.sg/web/solution/CISOAASCE_201924718Z20260715_HIB_4","S$9,300.00")</f>
        <v>S$9,300.00</v>
      </c>
      <c r="I36" s="67">
        <v>2970</v>
      </c>
      <c r="J36" s="56" t="str">
        <f>HYPERLINK("https://smesgodigital.gov.sg/web/solution/CISOAASCE_201924718Z20260715_HIMS_4","S$9,900.00")</f>
        <v>S$9,900.00</v>
      </c>
      <c r="K36" s="62"/>
      <c r="L36" s="22">
        <v>2550</v>
      </c>
      <c r="M36" s="62"/>
      <c r="N36" s="23">
        <v>2700</v>
      </c>
      <c r="O36" s="46"/>
    </row>
    <row r="37" spans="1:15" s="16" customFormat="1" ht="17.149999999999999" customHeight="1" x14ac:dyDescent="0.35">
      <c r="A37" s="107"/>
      <c r="B37" s="110"/>
      <c r="C37" s="113"/>
      <c r="D37" s="116"/>
      <c r="E37" s="119"/>
      <c r="F37" s="30" t="s">
        <v>25</v>
      </c>
      <c r="G37" s="24">
        <v>4200</v>
      </c>
      <c r="H37" s="54" t="str">
        <f>HYPERLINK("https://smesgodigital.gov.sg/web/solution/CISOAASCE_201924718Z20260715_HIB_5","S$14,000.00")</f>
        <v>S$14,000.00</v>
      </c>
      <c r="I37" s="66">
        <v>4380</v>
      </c>
      <c r="J37" s="57" t="str">
        <f>HYPERLINK("https://smesgodigital.gov.sg/web/solution/CISOAASCE_201924718Z20260715_HIMS_5","S$14,600.00")</f>
        <v>S$14,600.00</v>
      </c>
      <c r="K37" s="62"/>
      <c r="L37" s="28">
        <v>4300</v>
      </c>
      <c r="M37" s="62"/>
      <c r="N37" s="29">
        <v>4350</v>
      </c>
      <c r="O37" s="46"/>
    </row>
    <row r="38" spans="1:15" s="16" customFormat="1" ht="17.149999999999999" customHeight="1" x14ac:dyDescent="0.35">
      <c r="A38" s="107"/>
      <c r="B38" s="110"/>
      <c r="C38" s="113"/>
      <c r="D38" s="116"/>
      <c r="E38" s="119"/>
      <c r="F38" s="30" t="s">
        <v>26</v>
      </c>
      <c r="G38" s="18">
        <v>6450</v>
      </c>
      <c r="H38" s="53" t="str">
        <f>HYPERLINK("https://smesgodigital.gov.sg/web/solution/CISOAASCE_201924718Z20260715_HIB_6","S$21,500.00")</f>
        <v>S$21,500.00</v>
      </c>
      <c r="I38" s="67">
        <v>6570</v>
      </c>
      <c r="J38" s="56" t="str">
        <f>HYPERLINK("https://smesgodigital.gov.sg/web/solution/CISOAASCE_201924718Z20260715_HIMS_6","S$21,900.00")</f>
        <v>S$21,900.00</v>
      </c>
      <c r="K38" s="62"/>
      <c r="L38" s="22">
        <v>6600</v>
      </c>
      <c r="M38" s="62"/>
      <c r="N38" s="23">
        <v>6700</v>
      </c>
      <c r="O38" s="46"/>
    </row>
    <row r="39" spans="1:15" s="16" customFormat="1" ht="17.149999999999999" customHeight="1" x14ac:dyDescent="0.35">
      <c r="A39" s="107"/>
      <c r="B39" s="110"/>
      <c r="C39" s="113"/>
      <c r="D39" s="116"/>
      <c r="E39" s="119"/>
      <c r="F39" s="30" t="s">
        <v>27</v>
      </c>
      <c r="G39" s="60"/>
      <c r="H39" s="61">
        <v>5100</v>
      </c>
      <c r="I39" s="62"/>
      <c r="J39" s="61">
        <v>5400</v>
      </c>
      <c r="K39" s="62"/>
      <c r="L39" s="28">
        <v>4300</v>
      </c>
      <c r="M39" s="62"/>
      <c r="N39" s="29">
        <v>4450</v>
      </c>
      <c r="O39" s="46"/>
    </row>
    <row r="40" spans="1:15" s="16" customFormat="1" ht="17.149999999999999" customHeight="1" thickBot="1" x14ac:dyDescent="0.4">
      <c r="A40" s="107"/>
      <c r="B40" s="110"/>
      <c r="C40" s="113"/>
      <c r="D40" s="117"/>
      <c r="E40" s="119"/>
      <c r="F40" s="33" t="s">
        <v>28</v>
      </c>
      <c r="G40" s="63"/>
      <c r="H40" s="64">
        <v>6100</v>
      </c>
      <c r="I40" s="65"/>
      <c r="J40" s="64">
        <v>6400</v>
      </c>
      <c r="K40" s="65"/>
      <c r="L40" s="49">
        <v>4100</v>
      </c>
      <c r="M40" s="65"/>
      <c r="N40" s="47">
        <v>4250</v>
      </c>
      <c r="O40" s="46"/>
    </row>
    <row r="41" spans="1:15" s="16" customFormat="1" ht="17.149999999999999" customHeight="1" x14ac:dyDescent="0.35">
      <c r="A41" s="106">
        <v>5</v>
      </c>
      <c r="B41" s="109" t="s">
        <v>49</v>
      </c>
      <c r="C41" s="112" t="s">
        <v>50</v>
      </c>
      <c r="D41" s="115" t="s">
        <v>51</v>
      </c>
      <c r="E41" s="118" t="s">
        <v>52</v>
      </c>
      <c r="F41" s="10" t="s">
        <v>21</v>
      </c>
      <c r="G41" s="11">
        <v>1440</v>
      </c>
      <c r="H41" s="52" t="str">
        <f>HYPERLINK("https://smesgodigital.gov.sg/web/solution/CISOAASCE_202001329M20260325_HIB_1","S$4,800.00")</f>
        <v>S$4,800.00</v>
      </c>
      <c r="I41" s="70">
        <v>1466</v>
      </c>
      <c r="J41" s="55" t="str">
        <f>HYPERLINK("https://smesgodigital.gov.sg/web/solution/CISOAASCE_202001329M20260325_HIMS_1","S$4,888.00")</f>
        <v>S$4,888.00</v>
      </c>
      <c r="K41" s="12">
        <v>90</v>
      </c>
      <c r="L41" s="13">
        <v>390</v>
      </c>
      <c r="M41" s="11">
        <v>90</v>
      </c>
      <c r="N41" s="13">
        <v>390</v>
      </c>
      <c r="O41" s="15"/>
    </row>
    <row r="42" spans="1:15" s="16" customFormat="1" ht="17.149999999999999" customHeight="1" x14ac:dyDescent="0.35">
      <c r="A42" s="107"/>
      <c r="B42" s="110"/>
      <c r="C42" s="113"/>
      <c r="D42" s="116"/>
      <c r="E42" s="119"/>
      <c r="F42" s="17" t="s">
        <v>22</v>
      </c>
      <c r="G42" s="18">
        <v>1440</v>
      </c>
      <c r="H42" s="53" t="str">
        <f>HYPERLINK("https://smesgodigital.gov.sg/web/solution/CISOAASCE_202001329M20260325_HIB_2","S$4,800.00")</f>
        <v>S$4,800.00</v>
      </c>
      <c r="I42" s="67">
        <v>1496</v>
      </c>
      <c r="J42" s="56" t="str">
        <f>HYPERLINK("https://smesgodigital.gov.sg/web/solution/CISOAASCE_202001329M20260325_HIMS_2","S$4,988.00")</f>
        <v>S$4,988.00</v>
      </c>
      <c r="K42" s="21">
        <v>90</v>
      </c>
      <c r="L42" s="22">
        <v>390</v>
      </c>
      <c r="M42" s="18">
        <v>90</v>
      </c>
      <c r="N42" s="22">
        <v>390</v>
      </c>
      <c r="O42" s="15"/>
    </row>
    <row r="43" spans="1:15" s="16" customFormat="1" ht="17.149999999999999" customHeight="1" x14ac:dyDescent="0.35">
      <c r="A43" s="107"/>
      <c r="B43" s="110"/>
      <c r="C43" s="113"/>
      <c r="D43" s="116"/>
      <c r="E43" s="119"/>
      <c r="F43" s="17" t="s">
        <v>23</v>
      </c>
      <c r="G43" s="24">
        <v>1440</v>
      </c>
      <c r="H43" s="54" t="str">
        <f>HYPERLINK("https://smesgodigital.gov.sg/web/solution/CISOAASCE_202001329M20260325_HIB_3","S$4,800.00")</f>
        <v>S$4,800.00</v>
      </c>
      <c r="I43" s="66">
        <v>1526</v>
      </c>
      <c r="J43" s="57" t="str">
        <f>HYPERLINK("https://smesgodigital.gov.sg/web/solution/CISOAASCE_202001329M20260325_HIMS_3","S$5,088.00")</f>
        <v>S$5,088.00</v>
      </c>
      <c r="K43" s="27">
        <v>90</v>
      </c>
      <c r="L43" s="28">
        <v>390</v>
      </c>
      <c r="M43" s="24">
        <v>90</v>
      </c>
      <c r="N43" s="28">
        <v>390</v>
      </c>
      <c r="O43" s="15"/>
    </row>
    <row r="44" spans="1:15" s="16" customFormat="1" ht="17.149999999999999" customHeight="1" x14ac:dyDescent="0.35">
      <c r="A44" s="107"/>
      <c r="B44" s="110"/>
      <c r="C44" s="113"/>
      <c r="D44" s="116"/>
      <c r="E44" s="119"/>
      <c r="F44" s="30" t="s">
        <v>24</v>
      </c>
      <c r="G44" s="18">
        <v>2664</v>
      </c>
      <c r="H44" s="53" t="str">
        <f>HYPERLINK("https://smesgodigital.gov.sg/web/solution/CISOAASCE_202001329M20260325_HIB_4","S$8,880.00")</f>
        <v>S$8,880.00</v>
      </c>
      <c r="I44" s="67">
        <v>2694</v>
      </c>
      <c r="J44" s="56" t="str">
        <f>HYPERLINK("https://smesgodigital.gov.sg/web/solution/CISOAASCE_202001329M20260325_HIMS_4","S$8,980.00")</f>
        <v>S$8,980.00</v>
      </c>
      <c r="K44" s="21">
        <v>90</v>
      </c>
      <c r="L44" s="22">
        <v>390</v>
      </c>
      <c r="M44" s="18">
        <v>90</v>
      </c>
      <c r="N44" s="22">
        <v>390</v>
      </c>
      <c r="O44" s="15"/>
    </row>
    <row r="45" spans="1:15" s="16" customFormat="1" ht="17.149999999999999" customHeight="1" x14ac:dyDescent="0.35">
      <c r="A45" s="107"/>
      <c r="B45" s="110"/>
      <c r="C45" s="113"/>
      <c r="D45" s="116"/>
      <c r="E45" s="119"/>
      <c r="F45" s="30" t="s">
        <v>25</v>
      </c>
      <c r="G45" s="24">
        <v>3656</v>
      </c>
      <c r="H45" s="54" t="str">
        <f>HYPERLINK("https://smesgodigital.gov.sg/web/solution/CISOAASCE_202001329M20260325_HIB_5","S$12,188.00")</f>
        <v>S$12,188.00</v>
      </c>
      <c r="I45" s="66">
        <v>3894</v>
      </c>
      <c r="J45" s="57" t="str">
        <f>HYPERLINK("https://smesgodigital.gov.sg/web/solution/CISOAASCE_202001329M20260325_HIMS_5","S$12,980.00")</f>
        <v>S$12,980.00</v>
      </c>
      <c r="K45" s="27">
        <v>90</v>
      </c>
      <c r="L45" s="28">
        <v>390</v>
      </c>
      <c r="M45" s="24">
        <v>90</v>
      </c>
      <c r="N45" s="28">
        <v>390</v>
      </c>
      <c r="O45" s="15"/>
    </row>
    <row r="46" spans="1:15" s="16" customFormat="1" ht="17.149999999999999" customHeight="1" x14ac:dyDescent="0.35">
      <c r="A46" s="107"/>
      <c r="B46" s="110"/>
      <c r="C46" s="113"/>
      <c r="D46" s="116"/>
      <c r="E46" s="119"/>
      <c r="F46" s="30" t="s">
        <v>26</v>
      </c>
      <c r="G46" s="18">
        <v>5276</v>
      </c>
      <c r="H46" s="53" t="str">
        <f>HYPERLINK("https://smesgodigital.gov.sg/web/solution/CISOAASCE_202001329M20260325_HIB_6","S$17,588.00")</f>
        <v>S$17,588.00</v>
      </c>
      <c r="I46" s="67">
        <v>5940</v>
      </c>
      <c r="J46" s="56" t="str">
        <f>HYPERLINK("https://smesgodigital.gov.sg/web/solution/CISOAASCE_202001329M20260325_HIMS_6","S$19,800.00")</f>
        <v>S$19,800.00</v>
      </c>
      <c r="K46" s="21">
        <v>90</v>
      </c>
      <c r="L46" s="22">
        <v>390</v>
      </c>
      <c r="M46" s="18">
        <v>90</v>
      </c>
      <c r="N46" s="22">
        <v>390</v>
      </c>
      <c r="O46" s="15"/>
    </row>
    <row r="47" spans="1:15" s="16" customFormat="1" ht="17.149999999999999" customHeight="1" x14ac:dyDescent="0.35">
      <c r="A47" s="107"/>
      <c r="B47" s="110"/>
      <c r="C47" s="113"/>
      <c r="D47" s="116"/>
      <c r="E47" s="119"/>
      <c r="F47" s="30" t="s">
        <v>27</v>
      </c>
      <c r="G47" s="31"/>
      <c r="H47" s="61">
        <v>800</v>
      </c>
      <c r="I47" s="62"/>
      <c r="J47" s="61">
        <v>800</v>
      </c>
      <c r="K47" s="27">
        <v>90</v>
      </c>
      <c r="L47" s="28">
        <v>390</v>
      </c>
      <c r="M47" s="24">
        <v>90</v>
      </c>
      <c r="N47" s="28">
        <v>390</v>
      </c>
      <c r="O47" s="15"/>
    </row>
    <row r="48" spans="1:15" s="16" customFormat="1" ht="17.149999999999999" customHeight="1" thickBot="1" x14ac:dyDescent="0.4">
      <c r="A48" s="107"/>
      <c r="B48" s="111"/>
      <c r="C48" s="113"/>
      <c r="D48" s="117"/>
      <c r="E48" s="119"/>
      <c r="F48" s="33" t="s">
        <v>28</v>
      </c>
      <c r="G48" s="34"/>
      <c r="H48" s="71">
        <v>800</v>
      </c>
      <c r="I48" s="68"/>
      <c r="J48" s="71">
        <v>800</v>
      </c>
      <c r="K48" s="37">
        <v>90</v>
      </c>
      <c r="L48" s="38">
        <v>390</v>
      </c>
      <c r="M48" s="39">
        <v>90</v>
      </c>
      <c r="N48" s="38">
        <v>390</v>
      </c>
      <c r="O48" s="15"/>
    </row>
    <row r="49" spans="1:15" s="16" customFormat="1" ht="17.149999999999999" customHeight="1" x14ac:dyDescent="0.35">
      <c r="A49" s="106">
        <v>6</v>
      </c>
      <c r="B49" s="109" t="s">
        <v>33</v>
      </c>
      <c r="C49" s="112" t="s">
        <v>34</v>
      </c>
      <c r="D49" s="115" t="s">
        <v>35</v>
      </c>
      <c r="E49" s="118" t="s">
        <v>36</v>
      </c>
      <c r="F49" s="10" t="s">
        <v>21</v>
      </c>
      <c r="G49" s="11">
        <v>1050</v>
      </c>
      <c r="H49" s="52" t="str">
        <f>HYPERLINK("https://smesgodigital.gov.sg/web/solution/CISOAASCE_201727491D20260210_HIB_1","S$3,500.00")</f>
        <v>S$3,500.00</v>
      </c>
      <c r="I49" s="70">
        <v>1020</v>
      </c>
      <c r="J49" s="55" t="str">
        <f>HYPERLINK("https://smesgodigital.gov.sg/web/solution/CISOAASCE_201727491D20260210_HIMS_1","S$3,400.00")</f>
        <v>S$3,400.00</v>
      </c>
      <c r="K49" s="12">
        <v>150</v>
      </c>
      <c r="L49" s="13">
        <v>720</v>
      </c>
      <c r="M49" s="11">
        <v>150</v>
      </c>
      <c r="N49" s="14">
        <v>720</v>
      </c>
      <c r="O49" s="15"/>
    </row>
    <row r="50" spans="1:15" s="16" customFormat="1" ht="17.149999999999999" customHeight="1" x14ac:dyDescent="0.35">
      <c r="A50" s="107"/>
      <c r="B50" s="110"/>
      <c r="C50" s="113"/>
      <c r="D50" s="116"/>
      <c r="E50" s="119"/>
      <c r="F50" s="17" t="s">
        <v>22</v>
      </c>
      <c r="G50" s="18">
        <v>1110</v>
      </c>
      <c r="H50" s="53" t="str">
        <f>HYPERLINK("https://smesgodigital.gov.sg/web/solution/CISOAASCE_201727491D20260210_HIB_2","S$3,700.00")</f>
        <v>S$3,700.00</v>
      </c>
      <c r="I50" s="67">
        <v>1080</v>
      </c>
      <c r="J50" s="56" t="str">
        <f>HYPERLINK("https://smesgodigital.gov.sg/web/solution/CISOAASCE_201727491D20260210_HIMS_2","S$3,600.00")</f>
        <v>S$3,600.00</v>
      </c>
      <c r="K50" s="21">
        <v>150</v>
      </c>
      <c r="L50" s="22">
        <v>880</v>
      </c>
      <c r="M50" s="18">
        <v>150</v>
      </c>
      <c r="N50" s="23">
        <v>880</v>
      </c>
      <c r="O50" s="15"/>
    </row>
    <row r="51" spans="1:15" s="16" customFormat="1" ht="17.149999999999999" customHeight="1" x14ac:dyDescent="0.35">
      <c r="A51" s="107"/>
      <c r="B51" s="110"/>
      <c r="C51" s="113"/>
      <c r="D51" s="116"/>
      <c r="E51" s="119"/>
      <c r="F51" s="17" t="s">
        <v>23</v>
      </c>
      <c r="G51" s="18">
        <v>1410</v>
      </c>
      <c r="H51" s="54" t="str">
        <f>HYPERLINK("https://smesgodigital.gov.sg/web/solution/CISOAASCE_201727491D20260210_HIB_3","S$4,700.00")</f>
        <v>S$4,700.00</v>
      </c>
      <c r="I51" s="66">
        <v>1380</v>
      </c>
      <c r="J51" s="57" t="str">
        <f>HYPERLINK("https://smesgodigital.gov.sg/web/solution/CISOAASCE_201727491D20260210_HIMS_3","S$4,600.00")</f>
        <v>S$4,600.00</v>
      </c>
      <c r="K51" s="27">
        <v>150</v>
      </c>
      <c r="L51" s="28">
        <v>1440</v>
      </c>
      <c r="M51" s="24">
        <v>150</v>
      </c>
      <c r="N51" s="29">
        <v>1400</v>
      </c>
      <c r="O51" s="15"/>
    </row>
    <row r="52" spans="1:15" s="16" customFormat="1" ht="17.149999999999999" customHeight="1" x14ac:dyDescent="0.35">
      <c r="A52" s="107"/>
      <c r="B52" s="110"/>
      <c r="C52" s="113"/>
      <c r="D52" s="116"/>
      <c r="E52" s="119"/>
      <c r="F52" s="30" t="s">
        <v>24</v>
      </c>
      <c r="G52" s="18">
        <v>2130</v>
      </c>
      <c r="H52" s="53" t="str">
        <f>HYPERLINK("https://smesgodigital.gov.sg/web/solution/CISOAASCE_201727491D20260210_HIB_4","S$7,100.00")</f>
        <v>S$7,100.00</v>
      </c>
      <c r="I52" s="67">
        <v>2100</v>
      </c>
      <c r="J52" s="56" t="str">
        <f>HYPERLINK("https://smesgodigital.gov.sg/web/solution/CISOAASCE_201727491D20260210_HIMS_4","S$7,000.00")</f>
        <v>S$7,000.00</v>
      </c>
      <c r="K52" s="21">
        <v>150</v>
      </c>
      <c r="L52" s="22">
        <v>2160</v>
      </c>
      <c r="M52" s="18">
        <v>150</v>
      </c>
      <c r="N52" s="23">
        <v>2160</v>
      </c>
      <c r="O52" s="15"/>
    </row>
    <row r="53" spans="1:15" s="16" customFormat="1" ht="17.149999999999999" customHeight="1" x14ac:dyDescent="0.35">
      <c r="A53" s="107"/>
      <c r="B53" s="110"/>
      <c r="C53" s="113"/>
      <c r="D53" s="116"/>
      <c r="E53" s="119"/>
      <c r="F53" s="30" t="s">
        <v>25</v>
      </c>
      <c r="G53" s="18">
        <v>3570</v>
      </c>
      <c r="H53" s="54" t="str">
        <f>HYPERLINK("https://smesgodigital.gov.sg/web/solution/CISOAASCE_201727491D20260210_HIB_5","S$11,900.00")</f>
        <v>S$11,900.00</v>
      </c>
      <c r="I53" s="66">
        <v>3540</v>
      </c>
      <c r="J53" s="57" t="str">
        <f>HYPERLINK("https://smesgodigital.gov.sg/web/solution/CISOAASCE_201727491D20260210_HIMS_5","S$11,800.00")</f>
        <v>S$11,800.00</v>
      </c>
      <c r="K53" s="27">
        <v>150</v>
      </c>
      <c r="L53" s="28">
        <v>2880</v>
      </c>
      <c r="M53" s="24">
        <v>150</v>
      </c>
      <c r="N53" s="29">
        <v>2880</v>
      </c>
      <c r="O53" s="15"/>
    </row>
    <row r="54" spans="1:15" s="16" customFormat="1" ht="17.149999999999999" customHeight="1" x14ac:dyDescent="0.35">
      <c r="A54" s="107"/>
      <c r="B54" s="110"/>
      <c r="C54" s="113"/>
      <c r="D54" s="116"/>
      <c r="E54" s="119"/>
      <c r="F54" s="30" t="s">
        <v>26</v>
      </c>
      <c r="G54" s="18">
        <v>5370</v>
      </c>
      <c r="H54" s="53" t="str">
        <f>HYPERLINK("https://smesgodigital.gov.sg/web/solution/CISOAASCE_201727491D20260210_HIB_6","S$17,900.00")</f>
        <v>S$17,900.00</v>
      </c>
      <c r="I54" s="67">
        <v>5340</v>
      </c>
      <c r="J54" s="56" t="str">
        <f>HYPERLINK("https://smesgodigital.gov.sg/web/solution/CISOAASCE_201727491D20260210_HIMS_6","S$17,800.00")</f>
        <v>S$17,800.00</v>
      </c>
      <c r="K54" s="21">
        <v>150</v>
      </c>
      <c r="L54" s="22">
        <v>4320</v>
      </c>
      <c r="M54" s="18">
        <v>150</v>
      </c>
      <c r="N54" s="23">
        <v>4320</v>
      </c>
      <c r="O54" s="15"/>
    </row>
    <row r="55" spans="1:15" s="16" customFormat="1" ht="17.149999999999999" customHeight="1" x14ac:dyDescent="0.35">
      <c r="A55" s="107"/>
      <c r="B55" s="110"/>
      <c r="C55" s="113"/>
      <c r="D55" s="116"/>
      <c r="E55" s="119"/>
      <c r="F55" s="30" t="s">
        <v>27</v>
      </c>
      <c r="G55" s="60"/>
      <c r="H55" s="61">
        <v>7100</v>
      </c>
      <c r="I55" s="62"/>
      <c r="J55" s="61">
        <v>7000</v>
      </c>
      <c r="K55" s="27">
        <v>150</v>
      </c>
      <c r="L55" s="28">
        <v>1440</v>
      </c>
      <c r="M55" s="24">
        <v>150</v>
      </c>
      <c r="N55" s="29">
        <v>1400</v>
      </c>
      <c r="O55" s="15"/>
    </row>
    <row r="56" spans="1:15" s="16" customFormat="1" ht="17.149999999999999" customHeight="1" thickBot="1" x14ac:dyDescent="0.4">
      <c r="A56" s="108"/>
      <c r="B56" s="111"/>
      <c r="C56" s="114"/>
      <c r="D56" s="117"/>
      <c r="E56" s="120"/>
      <c r="F56" s="33" t="s">
        <v>28</v>
      </c>
      <c r="G56" s="72"/>
      <c r="H56" s="71">
        <v>3500</v>
      </c>
      <c r="I56" s="68"/>
      <c r="J56" s="71">
        <v>3400</v>
      </c>
      <c r="K56" s="37">
        <v>150</v>
      </c>
      <c r="L56" s="38">
        <v>1440</v>
      </c>
      <c r="M56" s="39">
        <v>150</v>
      </c>
      <c r="N56" s="35">
        <v>1400</v>
      </c>
      <c r="O56" s="15"/>
    </row>
    <row r="57" spans="1:15" s="16" customFormat="1" ht="17.149999999999999" customHeight="1" x14ac:dyDescent="0.35">
      <c r="A57" s="106">
        <v>6</v>
      </c>
      <c r="B57" s="109" t="s">
        <v>81</v>
      </c>
      <c r="C57" s="112" t="s">
        <v>82</v>
      </c>
      <c r="D57" s="115" t="s">
        <v>83</v>
      </c>
      <c r="E57" s="118" t="s">
        <v>84</v>
      </c>
      <c r="F57" s="10" t="s">
        <v>21</v>
      </c>
      <c r="G57" s="11">
        <v>780</v>
      </c>
      <c r="H57" s="52" t="str">
        <f>HYPERLINK("https://smesgodigital.gov.sg/web/solution/CISOAASCE_197902443Z20260917_HIB_1","S$2,600.00")</f>
        <v>S$2,600.00</v>
      </c>
      <c r="I57" s="70">
        <v>870</v>
      </c>
      <c r="J57" s="55" t="str">
        <f>HYPERLINK("https://smesgodigital.gov.sg/web/solution/CISOAASCE_197902443Z20260917_HIMS_1","S$2,900.00")</f>
        <v>S$2,900.00</v>
      </c>
      <c r="K57" s="12">
        <v>150</v>
      </c>
      <c r="L57" s="13">
        <v>720</v>
      </c>
      <c r="M57" s="11">
        <v>150</v>
      </c>
      <c r="N57" s="14">
        <v>720</v>
      </c>
      <c r="O57" s="15"/>
    </row>
    <row r="58" spans="1:15" s="16" customFormat="1" ht="17.149999999999999" customHeight="1" x14ac:dyDescent="0.35">
      <c r="A58" s="107"/>
      <c r="B58" s="110"/>
      <c r="C58" s="113"/>
      <c r="D58" s="116"/>
      <c r="E58" s="119"/>
      <c r="F58" s="17" t="s">
        <v>22</v>
      </c>
      <c r="G58" s="18">
        <v>780</v>
      </c>
      <c r="H58" s="53" t="str">
        <f>HYPERLINK("https://smesgodigital.gov.sg/web/solution/CISOAASCE_197902443Z20260917_HIB_2","S$2,600.00")</f>
        <v>S$2,600.00</v>
      </c>
      <c r="I58" s="67">
        <v>870</v>
      </c>
      <c r="J58" s="56" t="str">
        <f>HYPERLINK("https://smesgodigital.gov.sg/web/solution/CISOAASCE_197902443Z20260917_HIMS_2","S$2,900.00")</f>
        <v>S$2,900.00</v>
      </c>
      <c r="K58" s="21">
        <v>150</v>
      </c>
      <c r="L58" s="22">
        <v>880</v>
      </c>
      <c r="M58" s="18">
        <v>150</v>
      </c>
      <c r="N58" s="23">
        <v>880</v>
      </c>
      <c r="O58" s="15"/>
    </row>
    <row r="59" spans="1:15" s="16" customFormat="1" ht="17.149999999999999" customHeight="1" x14ac:dyDescent="0.35">
      <c r="A59" s="107"/>
      <c r="B59" s="110"/>
      <c r="C59" s="113"/>
      <c r="D59" s="116"/>
      <c r="E59" s="119"/>
      <c r="F59" s="17" t="s">
        <v>23</v>
      </c>
      <c r="G59" s="18">
        <v>1170</v>
      </c>
      <c r="H59" s="54" t="str">
        <f>HYPERLINK("https://smesgodigital.gov.sg/web/solution/CISOAASCE_197902443Z20260917_HIB_3","S$3,900.00")</f>
        <v>S$3,900.00</v>
      </c>
      <c r="I59" s="66">
        <v>1290</v>
      </c>
      <c r="J59" s="57" t="str">
        <f>HYPERLINK("https://smesgodigital.gov.sg/web/solution/CISOAASCE_197902443Z20260917_HIMS_3","S$4,300.00")</f>
        <v>S$4,300.00</v>
      </c>
      <c r="K59" s="27">
        <v>150</v>
      </c>
      <c r="L59" s="28">
        <v>1440</v>
      </c>
      <c r="M59" s="24">
        <v>150</v>
      </c>
      <c r="N59" s="29">
        <v>1400</v>
      </c>
      <c r="O59" s="15"/>
    </row>
    <row r="60" spans="1:15" s="16" customFormat="1" ht="17.149999999999999" customHeight="1" x14ac:dyDescent="0.35">
      <c r="A60" s="107"/>
      <c r="B60" s="110"/>
      <c r="C60" s="113"/>
      <c r="D60" s="116"/>
      <c r="E60" s="119"/>
      <c r="F60" s="30" t="s">
        <v>24</v>
      </c>
      <c r="G60" s="18">
        <v>2010</v>
      </c>
      <c r="H60" s="53" t="str">
        <f>HYPERLINK("https://smesgodigital.gov.sg/web/solution/CISOAASCE_197902443Z20260917_HIB_4","S$6,700.00")</f>
        <v>S$6,700.00</v>
      </c>
      <c r="I60" s="67">
        <v>2220</v>
      </c>
      <c r="J60" s="56" t="str">
        <f>HYPERLINK("https://smesgodigital.gov.sg/web/solution/CISOAASCE_197902443Z20260917_HIMS_4","S$7,400.00")</f>
        <v>S$7,400.00</v>
      </c>
      <c r="K60" s="21">
        <v>150</v>
      </c>
      <c r="L60" s="22">
        <v>2160</v>
      </c>
      <c r="M60" s="18">
        <v>150</v>
      </c>
      <c r="N60" s="23">
        <v>2160</v>
      </c>
      <c r="O60" s="15"/>
    </row>
    <row r="61" spans="1:15" s="16" customFormat="1" ht="17.149999999999999" customHeight="1" x14ac:dyDescent="0.35">
      <c r="A61" s="107"/>
      <c r="B61" s="110"/>
      <c r="C61" s="113"/>
      <c r="D61" s="116"/>
      <c r="E61" s="119"/>
      <c r="F61" s="30" t="s">
        <v>25</v>
      </c>
      <c r="G61" s="18">
        <v>3360</v>
      </c>
      <c r="H61" s="54" t="str">
        <f>HYPERLINK("https://smesgodigital.gov.sg/web/solution/CISOAASCE_197902443Z20260917_HIB_5","S$11,200.00")</f>
        <v>S$11,200.00</v>
      </c>
      <c r="I61" s="66">
        <v>3720</v>
      </c>
      <c r="J61" s="57" t="str">
        <f>HYPERLINK("https://smesgodigital.gov.sg/web/solution/CISOAASCE_197902443Z20260917_HIMS_5","S$12,400.00")</f>
        <v>S$12,400.00</v>
      </c>
      <c r="K61" s="27">
        <v>150</v>
      </c>
      <c r="L61" s="28">
        <v>2880</v>
      </c>
      <c r="M61" s="24">
        <v>150</v>
      </c>
      <c r="N61" s="29">
        <v>2880</v>
      </c>
      <c r="O61" s="15"/>
    </row>
    <row r="62" spans="1:15" s="16" customFormat="1" ht="17.149999999999999" customHeight="1" x14ac:dyDescent="0.35">
      <c r="A62" s="107"/>
      <c r="B62" s="110"/>
      <c r="C62" s="113"/>
      <c r="D62" s="116"/>
      <c r="E62" s="119"/>
      <c r="F62" s="30" t="s">
        <v>26</v>
      </c>
      <c r="G62" s="18">
        <v>5040</v>
      </c>
      <c r="H62" s="53" t="str">
        <f>HYPERLINK("https://smesgodigital.gov.sg/web/solution/CISOAASCE_197902443Z20260917_HIB_6","S$16,800.00")</f>
        <v>S$16,800.00</v>
      </c>
      <c r="I62" s="67">
        <v>5580</v>
      </c>
      <c r="J62" s="56" t="str">
        <f>HYPERLINK("https://smesgodigital.gov.sg/web/solution/CISOAASCE_197902443Z20260917_HIMS_6","S$18,600.00")</f>
        <v>S$18,600.00</v>
      </c>
      <c r="K62" s="21">
        <v>150</v>
      </c>
      <c r="L62" s="22">
        <v>4320</v>
      </c>
      <c r="M62" s="18">
        <v>150</v>
      </c>
      <c r="N62" s="23">
        <v>4320</v>
      </c>
      <c r="O62" s="15"/>
    </row>
    <row r="63" spans="1:15" s="16" customFormat="1" ht="17.149999999999999" customHeight="1" x14ac:dyDescent="0.35">
      <c r="A63" s="107"/>
      <c r="B63" s="110"/>
      <c r="C63" s="113"/>
      <c r="D63" s="116"/>
      <c r="E63" s="119"/>
      <c r="F63" s="30" t="s">
        <v>27</v>
      </c>
      <c r="G63" s="60"/>
      <c r="H63" s="61">
        <v>6700</v>
      </c>
      <c r="I63" s="62"/>
      <c r="J63" s="61">
        <v>7400</v>
      </c>
      <c r="K63" s="27">
        <v>150</v>
      </c>
      <c r="L63" s="28">
        <v>1440</v>
      </c>
      <c r="M63" s="24">
        <v>150</v>
      </c>
      <c r="N63" s="29">
        <v>1400</v>
      </c>
      <c r="O63" s="15"/>
    </row>
    <row r="64" spans="1:15" s="16" customFormat="1" ht="17.149999999999999" customHeight="1" thickBot="1" x14ac:dyDescent="0.4">
      <c r="A64" s="108"/>
      <c r="B64" s="111"/>
      <c r="C64" s="114"/>
      <c r="D64" s="117"/>
      <c r="E64" s="120"/>
      <c r="F64" s="33" t="s">
        <v>28</v>
      </c>
      <c r="G64" s="72"/>
      <c r="H64" s="71">
        <v>8300</v>
      </c>
      <c r="I64" s="68"/>
      <c r="J64" s="71">
        <v>9200</v>
      </c>
      <c r="K64" s="37">
        <v>150</v>
      </c>
      <c r="L64" s="38">
        <v>1440</v>
      </c>
      <c r="M64" s="39">
        <v>150</v>
      </c>
      <c r="N64" s="35">
        <v>1400</v>
      </c>
      <c r="O64" s="15"/>
    </row>
    <row r="65" spans="1:15" s="16" customFormat="1" ht="17.149999999999999" customHeight="1" x14ac:dyDescent="0.35">
      <c r="A65" s="106">
        <v>7</v>
      </c>
      <c r="B65" s="109" t="s">
        <v>47</v>
      </c>
      <c r="C65" s="112" t="s">
        <v>53</v>
      </c>
      <c r="D65" s="115" t="s">
        <v>54</v>
      </c>
      <c r="E65" s="118" t="s">
        <v>55</v>
      </c>
      <c r="F65" s="10" t="s">
        <v>21</v>
      </c>
      <c r="G65" s="11">
        <v>1290</v>
      </c>
      <c r="H65" s="52" t="str">
        <f>HYPERLINK("https://smesgodigital.gov.sg/web/solution/CISOAASCE_202300251D20260325_HIB_1","S$4,300.00")</f>
        <v>S$4,300.00</v>
      </c>
      <c r="I65" s="70">
        <v>1290</v>
      </c>
      <c r="J65" s="55" t="str">
        <f>HYPERLINK("https://smesgodigital.gov.sg/web/solution/CISOAASCE_202300251D20260325_HIMS_1","S$4,300.00")</f>
        <v>S$4,300.00</v>
      </c>
      <c r="K65" s="12">
        <v>100</v>
      </c>
      <c r="L65" s="13">
        <v>350</v>
      </c>
      <c r="M65" s="11">
        <v>100</v>
      </c>
      <c r="N65" s="14">
        <v>350</v>
      </c>
      <c r="O65" s="15"/>
    </row>
    <row r="66" spans="1:15" s="16" customFormat="1" ht="17.149999999999999" customHeight="1" x14ac:dyDescent="0.35">
      <c r="A66" s="107"/>
      <c r="B66" s="110"/>
      <c r="C66" s="113"/>
      <c r="D66" s="116"/>
      <c r="E66" s="119"/>
      <c r="F66" s="17" t="s">
        <v>22</v>
      </c>
      <c r="G66" s="18">
        <v>1590</v>
      </c>
      <c r="H66" s="53" t="str">
        <f>HYPERLINK("https://smesgodigital.gov.sg/web/solution/CISOAASCE_202300251D20260325_HIB_2","S$5,300.00")</f>
        <v>S$5,300.00</v>
      </c>
      <c r="I66" s="67">
        <v>1590</v>
      </c>
      <c r="J66" s="56" t="str">
        <f>HYPERLINK("https://smesgodigital.gov.sg/web/solution/CISOAASCE_202300251D20260325_HIMS_2","S$5,300.00")</f>
        <v>S$5,300.00</v>
      </c>
      <c r="K66" s="21">
        <v>100</v>
      </c>
      <c r="L66" s="22">
        <v>350</v>
      </c>
      <c r="M66" s="18">
        <v>100</v>
      </c>
      <c r="N66" s="23">
        <v>350</v>
      </c>
      <c r="O66" s="15"/>
    </row>
    <row r="67" spans="1:15" s="16" customFormat="1" ht="17.149999999999999" customHeight="1" x14ac:dyDescent="0.35">
      <c r="A67" s="107"/>
      <c r="B67" s="110"/>
      <c r="C67" s="113"/>
      <c r="D67" s="116"/>
      <c r="E67" s="119"/>
      <c r="F67" s="17" t="s">
        <v>23</v>
      </c>
      <c r="G67" s="24">
        <v>1890</v>
      </c>
      <c r="H67" s="54" t="str">
        <f>HYPERLINK("https://smesgodigital.gov.sg/web/solution/CISOAASCE_202300251D20260325_HIB_3","S$6,300.00")</f>
        <v>S$6,300.00</v>
      </c>
      <c r="I67" s="66">
        <v>1890</v>
      </c>
      <c r="J67" s="57" t="str">
        <f>HYPERLINK("https://smesgodigital.gov.sg/web/solution/CISOAASCE_202300251D20260325_HIMS_3","S$6,300.00")</f>
        <v>S$6,300.00</v>
      </c>
      <c r="K67" s="27">
        <v>100</v>
      </c>
      <c r="L67" s="28">
        <v>350</v>
      </c>
      <c r="M67" s="24">
        <v>100</v>
      </c>
      <c r="N67" s="29">
        <v>350</v>
      </c>
      <c r="O67" s="15"/>
    </row>
    <row r="68" spans="1:15" s="16" customFormat="1" ht="17.149999999999999" customHeight="1" x14ac:dyDescent="0.35">
      <c r="A68" s="107"/>
      <c r="B68" s="110"/>
      <c r="C68" s="113"/>
      <c r="D68" s="116"/>
      <c r="E68" s="119"/>
      <c r="F68" s="30" t="s">
        <v>24</v>
      </c>
      <c r="G68" s="18">
        <v>2190</v>
      </c>
      <c r="H68" s="53" t="str">
        <f>HYPERLINK("https://smesgodigital.gov.sg/web/solution/CISOAASCE_202300251D20260325_HIB_4","S$7,300.00")</f>
        <v>S$7,300.00</v>
      </c>
      <c r="I68" s="67">
        <v>2190</v>
      </c>
      <c r="J68" s="56" t="str">
        <f>HYPERLINK("https://smesgodigital.gov.sg/web/solution/CISOAASCE_202300251D20260325_HIMS_4","S$7,300.00")</f>
        <v>S$7,300.00</v>
      </c>
      <c r="K68" s="21">
        <v>100</v>
      </c>
      <c r="L68" s="22">
        <v>525</v>
      </c>
      <c r="M68" s="18">
        <v>100</v>
      </c>
      <c r="N68" s="23">
        <v>525</v>
      </c>
      <c r="O68" s="15"/>
    </row>
    <row r="69" spans="1:15" s="16" customFormat="1" ht="17.149999999999999" customHeight="1" x14ac:dyDescent="0.35">
      <c r="A69" s="107"/>
      <c r="B69" s="110"/>
      <c r="C69" s="113"/>
      <c r="D69" s="116"/>
      <c r="E69" s="119"/>
      <c r="F69" s="30" t="s">
        <v>25</v>
      </c>
      <c r="G69" s="24">
        <v>3090</v>
      </c>
      <c r="H69" s="54" t="str">
        <f>HYPERLINK("https://smesgodigital.gov.sg/web/solution/CISOAASCE_202300251D20260325_HIB_5","S$10,300.00")</f>
        <v>S$10,300.00</v>
      </c>
      <c r="I69" s="66">
        <v>3090</v>
      </c>
      <c r="J69" s="57" t="str">
        <f>HYPERLINK("https://smesgodigital.gov.sg/web/solution/CISOAASCE_202300251D20260325_HIMS_5","S$10,300.00")</f>
        <v>S$10,300.00</v>
      </c>
      <c r="K69" s="27">
        <v>100</v>
      </c>
      <c r="L69" s="28">
        <v>1300</v>
      </c>
      <c r="M69" s="24">
        <v>100</v>
      </c>
      <c r="N69" s="29">
        <v>1300</v>
      </c>
      <c r="O69" s="15"/>
    </row>
    <row r="70" spans="1:15" s="16" customFormat="1" ht="17.149999999999999" customHeight="1" x14ac:dyDescent="0.35">
      <c r="A70" s="107"/>
      <c r="B70" s="110"/>
      <c r="C70" s="113"/>
      <c r="D70" s="116"/>
      <c r="E70" s="119"/>
      <c r="F70" s="30" t="s">
        <v>26</v>
      </c>
      <c r="G70" s="18">
        <v>4590</v>
      </c>
      <c r="H70" s="53" t="str">
        <f>HYPERLINK("https://smesgodigital.gov.sg/web/solution/CISOAASCE_202300251D20260325_HIB_6","S$15,300.00")</f>
        <v>S$15,300.00</v>
      </c>
      <c r="I70" s="67">
        <v>4590</v>
      </c>
      <c r="J70" s="56" t="str">
        <f>HYPERLINK("https://smesgodigital.gov.sg/web/solution/CISOAASCE_202300251D20260325_HIMS_6","S$15,300.00")</f>
        <v>S$15,300.00</v>
      </c>
      <c r="K70" s="21">
        <v>100</v>
      </c>
      <c r="L70" s="22">
        <v>2500</v>
      </c>
      <c r="M70" s="18">
        <v>100</v>
      </c>
      <c r="N70" s="23">
        <v>2500</v>
      </c>
      <c r="O70" s="15"/>
    </row>
    <row r="71" spans="1:15" s="16" customFormat="1" ht="17.149999999999999" customHeight="1" x14ac:dyDescent="0.35">
      <c r="A71" s="107"/>
      <c r="B71" s="110"/>
      <c r="C71" s="113"/>
      <c r="D71" s="116"/>
      <c r="E71" s="119"/>
      <c r="F71" s="30" t="s">
        <v>27</v>
      </c>
      <c r="G71" s="31"/>
      <c r="H71" s="61">
        <v>10300</v>
      </c>
      <c r="I71" s="62"/>
      <c r="J71" s="61">
        <v>10300</v>
      </c>
      <c r="K71" s="27">
        <v>100</v>
      </c>
      <c r="L71" s="28">
        <v>1300</v>
      </c>
      <c r="M71" s="24">
        <v>100</v>
      </c>
      <c r="N71" s="29">
        <v>1300</v>
      </c>
      <c r="O71" s="15"/>
    </row>
    <row r="72" spans="1:15" s="16" customFormat="1" ht="17.149999999999999" customHeight="1" thickBot="1" x14ac:dyDescent="0.4">
      <c r="A72" s="108"/>
      <c r="B72" s="111"/>
      <c r="C72" s="114"/>
      <c r="D72" s="117"/>
      <c r="E72" s="120"/>
      <c r="F72" s="33" t="s">
        <v>28</v>
      </c>
      <c r="G72" s="34"/>
      <c r="H72" s="71">
        <v>10300</v>
      </c>
      <c r="I72" s="68"/>
      <c r="J72" s="71">
        <v>10300</v>
      </c>
      <c r="K72" s="37">
        <v>100</v>
      </c>
      <c r="L72" s="38">
        <v>1300</v>
      </c>
      <c r="M72" s="39">
        <v>100</v>
      </c>
      <c r="N72" s="35">
        <v>1300</v>
      </c>
      <c r="O72" s="15"/>
    </row>
    <row r="73" spans="1:15" s="16" customFormat="1" ht="17.149999999999999" customHeight="1" x14ac:dyDescent="0.35">
      <c r="A73" s="106">
        <v>8</v>
      </c>
      <c r="B73" s="109" t="s">
        <v>48</v>
      </c>
      <c r="C73" s="112" t="s">
        <v>56</v>
      </c>
      <c r="D73" s="115" t="s">
        <v>57</v>
      </c>
      <c r="E73" s="118" t="s">
        <v>58</v>
      </c>
      <c r="F73" s="10" t="s">
        <v>21</v>
      </c>
      <c r="G73" s="11">
        <v>1050</v>
      </c>
      <c r="H73" s="52" t="str">
        <f>HYPERLINK("https://smesgodigital.gov.sg/web/solution/CISOAASCE_201821728Z20260325_HIB_1","S$3,500.00")</f>
        <v>S$3,500.00</v>
      </c>
      <c r="I73" s="70">
        <v>1200</v>
      </c>
      <c r="J73" s="55" t="str">
        <f>HYPERLINK("https://smesgodigital.gov.sg/web/solution/CISOAASCE_201821728Z20260325_HIMS_1","S$4,000.00")</f>
        <v>S$4,000.00</v>
      </c>
      <c r="K73" s="12">
        <v>100</v>
      </c>
      <c r="L73" s="13">
        <v>650</v>
      </c>
      <c r="M73" s="11">
        <v>100</v>
      </c>
      <c r="N73" s="14">
        <v>650</v>
      </c>
      <c r="O73" s="15"/>
    </row>
    <row r="74" spans="1:15" s="16" customFormat="1" ht="17.149999999999999" customHeight="1" x14ac:dyDescent="0.35">
      <c r="A74" s="107"/>
      <c r="B74" s="110"/>
      <c r="C74" s="113"/>
      <c r="D74" s="116"/>
      <c r="E74" s="119"/>
      <c r="F74" s="17" t="s">
        <v>22</v>
      </c>
      <c r="G74" s="18">
        <v>1350</v>
      </c>
      <c r="H74" s="53" t="str">
        <f>HYPERLINK("https://smesgodigital.gov.sg/web/solution/CISOAASCE_201821728Z20260325_HIB_2","S$4,500.00")</f>
        <v>S$4,500.00</v>
      </c>
      <c r="I74" s="67">
        <v>1500</v>
      </c>
      <c r="J74" s="56" t="str">
        <f>HYPERLINK("https://smesgodigital.gov.sg/web/solution/CISOAASCE_201821728Z20260325_HIMS_2","S$5,000.00")</f>
        <v>S$5,000.00</v>
      </c>
      <c r="K74" s="21">
        <v>100</v>
      </c>
      <c r="L74" s="22">
        <v>850</v>
      </c>
      <c r="M74" s="18">
        <v>100</v>
      </c>
      <c r="N74" s="23">
        <v>850</v>
      </c>
      <c r="O74" s="15"/>
    </row>
    <row r="75" spans="1:15" s="16" customFormat="1" ht="17.149999999999999" customHeight="1" x14ac:dyDescent="0.35">
      <c r="A75" s="107"/>
      <c r="B75" s="110"/>
      <c r="C75" s="113"/>
      <c r="D75" s="116"/>
      <c r="E75" s="119"/>
      <c r="F75" s="17" t="s">
        <v>23</v>
      </c>
      <c r="G75" s="24">
        <v>2025</v>
      </c>
      <c r="H75" s="54" t="str">
        <f>HYPERLINK("https://smesgodigital.gov.sg/web/solution/CISOAASCE_201821728Z20260325_HIB_3","S$6,750.00")</f>
        <v>S$6,750.00</v>
      </c>
      <c r="I75" s="66">
        <v>2100</v>
      </c>
      <c r="J75" s="57" t="str">
        <f>HYPERLINK("https://smesgodigital.gov.sg/web/solution/CISOAASCE_201821728Z20260325_HIMS_3","S$7,000.00")</f>
        <v>S$7,000.00</v>
      </c>
      <c r="K75" s="27">
        <v>100</v>
      </c>
      <c r="L75" s="28">
        <v>1200</v>
      </c>
      <c r="M75" s="24">
        <v>100</v>
      </c>
      <c r="N75" s="29">
        <v>1200</v>
      </c>
      <c r="O75" s="15"/>
    </row>
    <row r="76" spans="1:15" s="16" customFormat="1" ht="17.149999999999999" customHeight="1" x14ac:dyDescent="0.35">
      <c r="A76" s="107"/>
      <c r="B76" s="110"/>
      <c r="C76" s="113"/>
      <c r="D76" s="116"/>
      <c r="E76" s="119"/>
      <c r="F76" s="30" t="s">
        <v>24</v>
      </c>
      <c r="G76" s="18">
        <v>3375</v>
      </c>
      <c r="H76" s="53" t="str">
        <f>HYPERLINK("https://smesgodigital.gov.sg/web/solution/CISOAASCE_201821728Z20260325_HIB_4","S$11,250.00")</f>
        <v>S$11,250.00</v>
      </c>
      <c r="I76" s="67">
        <v>3600</v>
      </c>
      <c r="J76" s="56" t="str">
        <f>HYPERLINK("https://smesgodigital.gov.sg/web/solution/CISOAASCE_201821728Z20260325_HIMS_4","S$12,000.00")</f>
        <v>S$12,000.00</v>
      </c>
      <c r="K76" s="21">
        <v>100</v>
      </c>
      <c r="L76" s="22">
        <v>1800</v>
      </c>
      <c r="M76" s="18">
        <v>100</v>
      </c>
      <c r="N76" s="23">
        <v>1800</v>
      </c>
      <c r="O76" s="15"/>
    </row>
    <row r="77" spans="1:15" s="16" customFormat="1" ht="17.149999999999999" customHeight="1" x14ac:dyDescent="0.35">
      <c r="A77" s="107"/>
      <c r="B77" s="110"/>
      <c r="C77" s="113"/>
      <c r="D77" s="116"/>
      <c r="E77" s="119"/>
      <c r="F77" s="30" t="s">
        <v>25</v>
      </c>
      <c r="G77" s="24">
        <v>5400</v>
      </c>
      <c r="H77" s="54" t="str">
        <f>HYPERLINK("https://smesgodigital.gov.sg/web/solution/CISOAASCE_201821728Z20260325_HIB_5","S$18,000.00")</f>
        <v>S$18,000.00</v>
      </c>
      <c r="I77" s="66">
        <v>5700</v>
      </c>
      <c r="J77" s="57" t="str">
        <f>HYPERLINK("https://smesgodigital.gov.sg/web/solution/CISOAASCE_201821728Z20260325_HIMS_5","S$19,000.00")</f>
        <v>S$19,000.00</v>
      </c>
      <c r="K77" s="27">
        <v>100</v>
      </c>
      <c r="L77" s="28">
        <v>2500</v>
      </c>
      <c r="M77" s="24">
        <v>100</v>
      </c>
      <c r="N77" s="29">
        <v>2500</v>
      </c>
      <c r="O77" s="15"/>
    </row>
    <row r="78" spans="1:15" s="16" customFormat="1" ht="17.149999999999999" customHeight="1" x14ac:dyDescent="0.35">
      <c r="A78" s="107"/>
      <c r="B78" s="110"/>
      <c r="C78" s="113"/>
      <c r="D78" s="116"/>
      <c r="E78" s="119"/>
      <c r="F78" s="30" t="s">
        <v>26</v>
      </c>
      <c r="G78" s="18">
        <v>8438</v>
      </c>
      <c r="H78" s="53" t="str">
        <f>HYPERLINK("https://smesgodigital.gov.sg/web/solution/CISOAASCE_201821728Z20260325_HIB_6","S$28,125.00")</f>
        <v>S$28,125.00</v>
      </c>
      <c r="I78" s="67">
        <v>9000</v>
      </c>
      <c r="J78" s="56" t="str">
        <f>HYPERLINK("https://smesgodigital.gov.sg/web/solution/CISOAASCE_201821728Z20260325_HIMS_6","S$30,000.00")</f>
        <v>S$30,000.00</v>
      </c>
      <c r="K78" s="21">
        <v>100</v>
      </c>
      <c r="L78" s="22">
        <v>3500</v>
      </c>
      <c r="M78" s="18">
        <v>100</v>
      </c>
      <c r="N78" s="23">
        <v>3500</v>
      </c>
      <c r="O78" s="15"/>
    </row>
    <row r="79" spans="1:15" s="16" customFormat="1" ht="17.149999999999999" customHeight="1" x14ac:dyDescent="0.35">
      <c r="A79" s="107"/>
      <c r="B79" s="110"/>
      <c r="C79" s="113"/>
      <c r="D79" s="116"/>
      <c r="E79" s="119"/>
      <c r="F79" s="30" t="s">
        <v>27</v>
      </c>
      <c r="G79" s="60"/>
      <c r="H79" s="61">
        <v>4000</v>
      </c>
      <c r="I79" s="62"/>
      <c r="J79" s="61">
        <v>4000</v>
      </c>
      <c r="K79" s="27">
        <v>100</v>
      </c>
      <c r="L79" s="28">
        <v>4000</v>
      </c>
      <c r="M79" s="24">
        <v>100</v>
      </c>
      <c r="N79" s="29">
        <v>4000</v>
      </c>
      <c r="O79" s="15"/>
    </row>
    <row r="80" spans="1:15" s="16" customFormat="1" ht="17.149999999999999" customHeight="1" thickBot="1" x14ac:dyDescent="0.4">
      <c r="A80" s="108"/>
      <c r="B80" s="111"/>
      <c r="C80" s="114"/>
      <c r="D80" s="117"/>
      <c r="E80" s="120"/>
      <c r="F80" s="33" t="s">
        <v>28</v>
      </c>
      <c r="G80" s="72"/>
      <c r="H80" s="71">
        <v>4000</v>
      </c>
      <c r="I80" s="68"/>
      <c r="J80" s="71">
        <v>4000</v>
      </c>
      <c r="K80" s="37">
        <v>100</v>
      </c>
      <c r="L80" s="38">
        <v>4000</v>
      </c>
      <c r="M80" s="39">
        <v>100</v>
      </c>
      <c r="N80" s="35">
        <v>4000</v>
      </c>
      <c r="O80" s="15"/>
    </row>
    <row r="81" spans="1:15" s="16" customFormat="1" ht="17.149999999999999" customHeight="1" x14ac:dyDescent="0.35">
      <c r="A81" s="106">
        <v>9</v>
      </c>
      <c r="B81" s="109" t="s">
        <v>69</v>
      </c>
      <c r="C81" s="112" t="s">
        <v>76</v>
      </c>
      <c r="D81" s="115" t="s">
        <v>77</v>
      </c>
      <c r="E81" s="118" t="s">
        <v>78</v>
      </c>
      <c r="F81" s="10" t="s">
        <v>21</v>
      </c>
      <c r="G81" s="11">
        <v>2606.83</v>
      </c>
      <c r="H81" s="52" t="str">
        <f>HYPERLINK("https://smesgodigital.gov.sg/web/solution/CISOAASCE_201822210D20260715_HIB_1","S$6,500.00")</f>
        <v>S$6,500.00</v>
      </c>
      <c r="I81" s="70">
        <v>2885.05</v>
      </c>
      <c r="J81" s="55" t="str">
        <f>HYPERLINK("https://smesgodigital.gov.sg/web/solution/CISOAASCE_201822210D20260715_HIMS_1","S$7,000.00")</f>
        <v>S$7,000.00</v>
      </c>
      <c r="K81" s="12">
        <v>100</v>
      </c>
      <c r="L81" s="13">
        <v>540</v>
      </c>
      <c r="M81" s="11">
        <v>100</v>
      </c>
      <c r="N81" s="14">
        <v>540</v>
      </c>
      <c r="O81" s="15"/>
    </row>
    <row r="82" spans="1:15" s="16" customFormat="1" ht="17.149999999999999" customHeight="1" x14ac:dyDescent="0.35">
      <c r="A82" s="107"/>
      <c r="B82" s="110"/>
      <c r="C82" s="113"/>
      <c r="D82" s="116"/>
      <c r="E82" s="119"/>
      <c r="F82" s="17" t="s">
        <v>22</v>
      </c>
      <c r="G82" s="18">
        <v>2189.17</v>
      </c>
      <c r="H82" s="53" t="str">
        <f>HYPERLINK("https://smesgodigital.gov.sg/web/solution/CISOAASCE_201822210D20260715_HIB_2","S$6,500.00")</f>
        <v>S$6,500.00</v>
      </c>
      <c r="I82" s="67">
        <v>2537.85</v>
      </c>
      <c r="J82" s="56" t="str">
        <f>HYPERLINK("https://smesgodigital.gov.sg/web/solution/CISOAASCE_201822210D20260715_HIMS_2","S$7,000.00")</f>
        <v>S$7,000.00</v>
      </c>
      <c r="K82" s="21">
        <v>100</v>
      </c>
      <c r="L82" s="22">
        <v>540</v>
      </c>
      <c r="M82" s="18">
        <v>100</v>
      </c>
      <c r="N82" s="23">
        <v>540</v>
      </c>
      <c r="O82" s="15"/>
    </row>
    <row r="83" spans="1:15" s="16" customFormat="1" ht="17.149999999999999" customHeight="1" x14ac:dyDescent="0.35">
      <c r="A83" s="107"/>
      <c r="B83" s="110"/>
      <c r="C83" s="113"/>
      <c r="D83" s="116"/>
      <c r="E83" s="119"/>
      <c r="F83" s="17" t="s">
        <v>23</v>
      </c>
      <c r="G83" s="24">
        <v>2340</v>
      </c>
      <c r="H83" s="54" t="str">
        <f>HYPERLINK("https://smesgodigital.gov.sg/web/solution/CISOAASCE_201822210D20260715_HIB_3","S$7,800.00")</f>
        <v>S$7,800.00</v>
      </c>
      <c r="I83" s="66">
        <v>2490</v>
      </c>
      <c r="J83" s="57" t="str">
        <f>HYPERLINK("https://smesgodigital.gov.sg/web/solution/CISOAASCE_201822210D20260715_HIMS_3","S$8,300.00")</f>
        <v>S$8,300.00</v>
      </c>
      <c r="K83" s="27">
        <v>100</v>
      </c>
      <c r="L83" s="28">
        <v>540</v>
      </c>
      <c r="M83" s="24">
        <v>100</v>
      </c>
      <c r="N83" s="29">
        <v>540</v>
      </c>
      <c r="O83" s="15"/>
    </row>
    <row r="84" spans="1:15" s="16" customFormat="1" ht="17.149999999999999" customHeight="1" x14ac:dyDescent="0.35">
      <c r="A84" s="107"/>
      <c r="B84" s="110"/>
      <c r="C84" s="113"/>
      <c r="D84" s="116"/>
      <c r="E84" s="119"/>
      <c r="F84" s="30" t="s">
        <v>24</v>
      </c>
      <c r="G84" s="18">
        <v>3120</v>
      </c>
      <c r="H84" s="53" t="str">
        <f>HYPERLINK("https://smesgodigital.gov.sg/web/solution/CISOAASCE_201822210D20260715_HIB_4","S$10,400.00")</f>
        <v>S$10,400.00</v>
      </c>
      <c r="I84" s="67">
        <v>3276</v>
      </c>
      <c r="J84" s="56" t="str">
        <f>HYPERLINK("https://smesgodigital.gov.sg/web/solution/CISOAASCE_201822210D20260715_HIMS_4","S$10,920.00")</f>
        <v>S$10,920.00</v>
      </c>
      <c r="K84" s="21">
        <v>100</v>
      </c>
      <c r="L84" s="22">
        <v>720</v>
      </c>
      <c r="M84" s="18">
        <v>100</v>
      </c>
      <c r="N84" s="23">
        <v>720</v>
      </c>
      <c r="O84" s="15"/>
    </row>
    <row r="85" spans="1:15" s="16" customFormat="1" ht="17.149999999999999" customHeight="1" x14ac:dyDescent="0.35">
      <c r="A85" s="107"/>
      <c r="B85" s="110"/>
      <c r="C85" s="113"/>
      <c r="D85" s="116"/>
      <c r="E85" s="119"/>
      <c r="F85" s="30" t="s">
        <v>25</v>
      </c>
      <c r="G85" s="24">
        <v>5772</v>
      </c>
      <c r="H85" s="54" t="str">
        <f>HYPERLINK("https://smesgodigital.gov.sg/web/solution/CISOAASCE_201822210D20260715_HIB_5","S$19,240.00")</f>
        <v>S$19,240.00</v>
      </c>
      <c r="I85" s="66">
        <v>6060.6</v>
      </c>
      <c r="J85" s="57" t="str">
        <f>HYPERLINK("https://smesgodigital.gov.sg/web/solution/CISOAASCE_201822210D20260715_HIMS_5","S$20,202.00")</f>
        <v>S$20,202.00</v>
      </c>
      <c r="K85" s="27">
        <v>100</v>
      </c>
      <c r="L85" s="28">
        <v>855</v>
      </c>
      <c r="M85" s="24">
        <v>100</v>
      </c>
      <c r="N85" s="29">
        <v>855</v>
      </c>
      <c r="O85" s="15"/>
    </row>
    <row r="86" spans="1:15" s="16" customFormat="1" ht="17.149999999999999" customHeight="1" x14ac:dyDescent="0.35">
      <c r="A86" s="107"/>
      <c r="B86" s="110"/>
      <c r="C86" s="113"/>
      <c r="D86" s="116"/>
      <c r="E86" s="119"/>
      <c r="F86" s="30" t="s">
        <v>26</v>
      </c>
      <c r="G86" s="18">
        <v>7020</v>
      </c>
      <c r="H86" s="53" t="str">
        <f>HYPERLINK("https://smesgodigital.gov.sg/web/solution/CISOAASCE_201822210D20260715_HIB_6","S$23,400.00")</f>
        <v>S$23,400.00</v>
      </c>
      <c r="I86" s="67">
        <v>7371</v>
      </c>
      <c r="J86" s="56" t="str">
        <f>HYPERLINK("https://smesgodigital.gov.sg/web/solution/CISOAASCE_201822210D20260715_HIMS_6","S$24,570.00")</f>
        <v>S$24,570.00</v>
      </c>
      <c r="K86" s="21">
        <v>100</v>
      </c>
      <c r="L86" s="22">
        <v>855</v>
      </c>
      <c r="M86" s="18">
        <v>100</v>
      </c>
      <c r="N86" s="23">
        <v>855</v>
      </c>
      <c r="O86" s="15"/>
    </row>
    <row r="87" spans="1:15" s="16" customFormat="1" ht="17.149999999999999" customHeight="1" x14ac:dyDescent="0.35">
      <c r="A87" s="107"/>
      <c r="B87" s="110"/>
      <c r="C87" s="113"/>
      <c r="D87" s="116"/>
      <c r="E87" s="119"/>
      <c r="F87" s="30" t="s">
        <v>27</v>
      </c>
      <c r="G87" s="60"/>
      <c r="H87" s="61">
        <v>10000</v>
      </c>
      <c r="I87" s="62"/>
      <c r="J87" s="61">
        <v>10500</v>
      </c>
      <c r="K87" s="27">
        <v>100</v>
      </c>
      <c r="L87" s="28">
        <v>855</v>
      </c>
      <c r="M87" s="24">
        <v>100</v>
      </c>
      <c r="N87" s="29">
        <v>855</v>
      </c>
      <c r="O87" s="15"/>
    </row>
    <row r="88" spans="1:15" s="16" customFormat="1" ht="17.149999999999999" customHeight="1" thickBot="1" x14ac:dyDescent="0.4">
      <c r="A88" s="108"/>
      <c r="B88" s="111"/>
      <c r="C88" s="114"/>
      <c r="D88" s="117"/>
      <c r="E88" s="120"/>
      <c r="F88" s="33" t="s">
        <v>28</v>
      </c>
      <c r="G88" s="72"/>
      <c r="H88" s="71">
        <v>10000</v>
      </c>
      <c r="I88" s="68"/>
      <c r="J88" s="71">
        <v>10500</v>
      </c>
      <c r="K88" s="37">
        <v>100</v>
      </c>
      <c r="L88" s="38">
        <v>855</v>
      </c>
      <c r="M88" s="39">
        <v>100</v>
      </c>
      <c r="N88" s="35">
        <v>855</v>
      </c>
      <c r="O88" s="15"/>
    </row>
    <row r="89" spans="1:15" s="16" customFormat="1" ht="17.149999999999999" customHeight="1" x14ac:dyDescent="0.35">
      <c r="A89" s="106">
        <v>10</v>
      </c>
      <c r="B89" s="109" t="s">
        <v>89</v>
      </c>
      <c r="C89" s="112" t="s">
        <v>90</v>
      </c>
      <c r="D89" s="115" t="s">
        <v>77</v>
      </c>
      <c r="E89" s="118" t="s">
        <v>91</v>
      </c>
      <c r="F89" s="10" t="s">
        <v>21</v>
      </c>
      <c r="G89" s="11">
        <v>2606.83</v>
      </c>
      <c r="H89" s="52" t="str">
        <f>HYPERLINK("https://smesgodigital.gov.sg/web/solution/CISOAASCE_200102733G20260918_HIB_1","S$4,500.00")</f>
        <v>S$4,500.00</v>
      </c>
      <c r="I89" s="70">
        <v>2885.05</v>
      </c>
      <c r="J89" s="55" t="str">
        <f>HYPERLINK("https://smesgodigital.gov.sg/web/solution/CISOAASCE_200102733G20260918_HIMS_1","S$4,500.00")</f>
        <v>S$4,500.00</v>
      </c>
      <c r="K89" s="12">
        <v>120</v>
      </c>
      <c r="L89" s="13">
        <v>450</v>
      </c>
      <c r="M89" s="11">
        <v>120</v>
      </c>
      <c r="N89" s="14">
        <v>450</v>
      </c>
      <c r="O89" s="15"/>
    </row>
    <row r="90" spans="1:15" s="16" customFormat="1" ht="17.149999999999999" customHeight="1" x14ac:dyDescent="0.35">
      <c r="A90" s="107"/>
      <c r="B90" s="110"/>
      <c r="C90" s="113"/>
      <c r="D90" s="116"/>
      <c r="E90" s="119"/>
      <c r="F90" s="17" t="s">
        <v>22</v>
      </c>
      <c r="G90" s="18">
        <v>2189.17</v>
      </c>
      <c r="H90" s="53" t="str">
        <f>HYPERLINK("https://smesgodigital.gov.sg/web/solution/CISOAASCE_200102733G20260918_HIB_2","S$5,100.00")</f>
        <v>S$5,100.00</v>
      </c>
      <c r="I90" s="67">
        <v>2537.85</v>
      </c>
      <c r="J90" s="56" t="str">
        <f>HYPERLINK("https://smesgodigital.gov.sg/web/solution/CISOAASCE_200102733G20260918_HIMS_2","S$5,100.00")</f>
        <v>S$5,100.00</v>
      </c>
      <c r="K90" s="21">
        <v>120</v>
      </c>
      <c r="L90" s="22">
        <v>450</v>
      </c>
      <c r="M90" s="18">
        <v>120</v>
      </c>
      <c r="N90" s="23">
        <v>450</v>
      </c>
      <c r="O90" s="15"/>
    </row>
    <row r="91" spans="1:15" s="16" customFormat="1" ht="17.149999999999999" customHeight="1" x14ac:dyDescent="0.35">
      <c r="A91" s="107"/>
      <c r="B91" s="110"/>
      <c r="C91" s="113"/>
      <c r="D91" s="116"/>
      <c r="E91" s="119"/>
      <c r="F91" s="17" t="s">
        <v>23</v>
      </c>
      <c r="G91" s="24">
        <v>2340</v>
      </c>
      <c r="H91" s="54" t="str">
        <f>HYPERLINK("https://smesgodigital.gov.sg/web/solution/CISOAASCE_200102733G20260918_HIB_3","S$6,750.00")</f>
        <v>S$6,750.00</v>
      </c>
      <c r="I91" s="66">
        <v>2490</v>
      </c>
      <c r="J91" s="57" t="str">
        <f>HYPERLINK("https://smesgodigital.gov.sg/web/solution/CISOAASCE_200102733G20260918_HIMS_3","S$6,750.00")</f>
        <v>S$6,750.00</v>
      </c>
      <c r="K91" s="27">
        <v>120</v>
      </c>
      <c r="L91" s="28">
        <v>450</v>
      </c>
      <c r="M91" s="24">
        <v>120</v>
      </c>
      <c r="N91" s="29">
        <v>450</v>
      </c>
      <c r="O91" s="15"/>
    </row>
    <row r="92" spans="1:15" s="16" customFormat="1" ht="17.149999999999999" customHeight="1" x14ac:dyDescent="0.35">
      <c r="A92" s="107"/>
      <c r="B92" s="110"/>
      <c r="C92" s="113"/>
      <c r="D92" s="116"/>
      <c r="E92" s="119"/>
      <c r="F92" s="30" t="s">
        <v>24</v>
      </c>
      <c r="G92" s="18">
        <v>3120</v>
      </c>
      <c r="H92" s="53" t="str">
        <f>HYPERLINK("https://smesgodigital.gov.sg/web/solution/CISOAASCE_200102733G20260918_HIB_4","S$10,125.00")</f>
        <v>S$10,125.00</v>
      </c>
      <c r="I92" s="67">
        <v>3276</v>
      </c>
      <c r="J92" s="56" t="str">
        <f>HYPERLINK("https://smesgodigital.gov.sg/web/solution/CISOAASCE_200102733G20260918_HIMS_4","S$10,125.00")</f>
        <v>S$10,125.00</v>
      </c>
      <c r="K92" s="21">
        <v>120</v>
      </c>
      <c r="L92" s="22">
        <v>650</v>
      </c>
      <c r="M92" s="18">
        <v>120</v>
      </c>
      <c r="N92" s="23">
        <v>650</v>
      </c>
      <c r="O92" s="15"/>
    </row>
    <row r="93" spans="1:15" s="16" customFormat="1" ht="17.149999999999999" customHeight="1" x14ac:dyDescent="0.35">
      <c r="A93" s="107"/>
      <c r="B93" s="110"/>
      <c r="C93" s="113"/>
      <c r="D93" s="116"/>
      <c r="E93" s="119"/>
      <c r="F93" s="30" t="s">
        <v>25</v>
      </c>
      <c r="G93" s="24">
        <v>5772</v>
      </c>
      <c r="H93" s="54" t="str">
        <f>HYPERLINK("https://smesgodigital.gov.sg/web/solution/CISOAASCE_200102733G20260918_HIB_5","S$15,187.50")</f>
        <v>S$15,187.50</v>
      </c>
      <c r="I93" s="66">
        <v>6060.6</v>
      </c>
      <c r="J93" s="57" t="str">
        <f>HYPERLINK("https://smesgodigital.gov.sg/web/solution/CISOAASCE_200102733G20260918_HIMS_5","S$15,187.50")</f>
        <v>S$15,187.50</v>
      </c>
      <c r="K93" s="27">
        <v>120</v>
      </c>
      <c r="L93" s="28">
        <v>850</v>
      </c>
      <c r="M93" s="24">
        <v>120</v>
      </c>
      <c r="N93" s="29">
        <v>850</v>
      </c>
      <c r="O93" s="15"/>
    </row>
    <row r="94" spans="1:15" s="16" customFormat="1" ht="17.149999999999999" customHeight="1" x14ac:dyDescent="0.35">
      <c r="A94" s="107"/>
      <c r="B94" s="110"/>
      <c r="C94" s="113"/>
      <c r="D94" s="116"/>
      <c r="E94" s="119"/>
      <c r="F94" s="30" t="s">
        <v>26</v>
      </c>
      <c r="G94" s="18">
        <v>7020</v>
      </c>
      <c r="H94" s="53" t="str">
        <f>HYPERLINK("https://smesgodigital.gov.sg/web/solution/CISOAASCE_200102733G20260918_HIB_6","S$30,375.00")</f>
        <v>S$30,375.00</v>
      </c>
      <c r="I94" s="67">
        <v>7371</v>
      </c>
      <c r="J94" s="56" t="str">
        <f>HYPERLINK("https://smesgodigital.gov.sg/web/solution/CISOAASCE_200102733G20260918_HIMS_6","S$30,375.00")</f>
        <v>S$30,375.00</v>
      </c>
      <c r="K94" s="21">
        <v>120</v>
      </c>
      <c r="L94" s="22">
        <v>850</v>
      </c>
      <c r="M94" s="18">
        <v>120</v>
      </c>
      <c r="N94" s="23">
        <v>850</v>
      </c>
      <c r="O94" s="15"/>
    </row>
    <row r="95" spans="1:15" s="16" customFormat="1" ht="17.149999999999999" customHeight="1" x14ac:dyDescent="0.35">
      <c r="A95" s="107"/>
      <c r="B95" s="110"/>
      <c r="C95" s="113"/>
      <c r="D95" s="116"/>
      <c r="E95" s="119"/>
      <c r="F95" s="30" t="s">
        <v>27</v>
      </c>
      <c r="G95" s="60"/>
      <c r="H95" s="61">
        <v>7500</v>
      </c>
      <c r="I95" s="62"/>
      <c r="J95" s="61">
        <v>7500</v>
      </c>
      <c r="K95" s="27">
        <v>120</v>
      </c>
      <c r="L95" s="28">
        <v>300</v>
      </c>
      <c r="M95" s="24">
        <v>120</v>
      </c>
      <c r="N95" s="29">
        <v>300</v>
      </c>
      <c r="O95" s="15"/>
    </row>
    <row r="96" spans="1:15" s="16" customFormat="1" ht="17.149999999999999" customHeight="1" thickBot="1" x14ac:dyDescent="0.4">
      <c r="A96" s="108"/>
      <c r="B96" s="111"/>
      <c r="C96" s="114"/>
      <c r="D96" s="117"/>
      <c r="E96" s="120"/>
      <c r="F96" s="33" t="s">
        <v>28</v>
      </c>
      <c r="G96" s="72"/>
      <c r="H96" s="71">
        <v>7500</v>
      </c>
      <c r="I96" s="68"/>
      <c r="J96" s="71">
        <v>7500</v>
      </c>
      <c r="K96" s="37">
        <v>120</v>
      </c>
      <c r="L96" s="38">
        <v>300</v>
      </c>
      <c r="M96" s="39">
        <v>120</v>
      </c>
      <c r="N96" s="35">
        <v>300</v>
      </c>
      <c r="O96" s="15"/>
    </row>
    <row r="97" spans="1:15" s="16" customFormat="1" ht="17.149999999999999" customHeight="1" x14ac:dyDescent="0.35">
      <c r="A97" s="106">
        <v>11</v>
      </c>
      <c r="B97" s="109" t="s">
        <v>37</v>
      </c>
      <c r="C97" s="112" t="s">
        <v>38</v>
      </c>
      <c r="D97" s="115" t="s">
        <v>39</v>
      </c>
      <c r="E97" s="118" t="s">
        <v>40</v>
      </c>
      <c r="F97" s="10" t="s">
        <v>21</v>
      </c>
      <c r="G97" s="11">
        <v>1470</v>
      </c>
      <c r="H97" s="52" t="str">
        <f>HYPERLINK("https://smesgodigital.gov.sg/web/solution/CISOAASCE_201724961H20260108_HIB_1","S$4,900.00")</f>
        <v>S$4,900.00</v>
      </c>
      <c r="I97" s="70">
        <v>1500</v>
      </c>
      <c r="J97" s="55" t="str">
        <f>HYPERLINK("https://smesgodigital.gov.sg/web/solution/CISOAASCE_201724961H20260108_HIMS_1","S$5,000.00")</f>
        <v>S$5,000.00</v>
      </c>
      <c r="K97" s="12">
        <v>325</v>
      </c>
      <c r="L97" s="13">
        <v>1350</v>
      </c>
      <c r="M97" s="11">
        <v>330</v>
      </c>
      <c r="N97" s="14">
        <v>1360</v>
      </c>
      <c r="O97" s="15"/>
    </row>
    <row r="98" spans="1:15" s="16" customFormat="1" ht="17.149999999999999" customHeight="1" x14ac:dyDescent="0.35">
      <c r="A98" s="107"/>
      <c r="B98" s="110"/>
      <c r="C98" s="113"/>
      <c r="D98" s="116"/>
      <c r="E98" s="119"/>
      <c r="F98" s="17" t="s">
        <v>22</v>
      </c>
      <c r="G98" s="18">
        <v>1485</v>
      </c>
      <c r="H98" s="53" t="str">
        <f>HYPERLINK("https://smesgodigital.gov.sg/web/solution/CISOAASCE_201724961H20260108_HIB_2","S$4,950.00")</f>
        <v>S$4,950.00</v>
      </c>
      <c r="I98" s="67">
        <v>1515</v>
      </c>
      <c r="J98" s="56" t="str">
        <f>HYPERLINK("https://smesgodigital.gov.sg/web/solution/CISOAASCE_201724961H20260108_HIMS_2","S$5,050.00")</f>
        <v>S$5,050.00</v>
      </c>
      <c r="K98" s="21">
        <v>325</v>
      </c>
      <c r="L98" s="22">
        <v>1350</v>
      </c>
      <c r="M98" s="18">
        <v>330</v>
      </c>
      <c r="N98" s="23">
        <v>1360</v>
      </c>
      <c r="O98" s="15"/>
    </row>
    <row r="99" spans="1:15" s="16" customFormat="1" ht="17.149999999999999" customHeight="1" x14ac:dyDescent="0.35">
      <c r="A99" s="107"/>
      <c r="B99" s="110"/>
      <c r="C99" s="113"/>
      <c r="D99" s="116"/>
      <c r="E99" s="119"/>
      <c r="F99" s="17" t="s">
        <v>23</v>
      </c>
      <c r="G99" s="18">
        <v>2010</v>
      </c>
      <c r="H99" s="54" t="str">
        <f>HYPERLINK("https://smesgodigital.gov.sg/web/solution/CISOAASCE_201724961H20260108_HIB_3","S$6,700.00")</f>
        <v>S$6,700.00</v>
      </c>
      <c r="I99" s="66">
        <v>2040</v>
      </c>
      <c r="J99" s="57" t="str">
        <f>HYPERLINK("https://smesgodigital.gov.sg/web/solution/CISOAASCE_201724961H20260108_HIMS_3","S$6,800.00")</f>
        <v>S$6,800.00</v>
      </c>
      <c r="K99" s="27">
        <v>325</v>
      </c>
      <c r="L99" s="28">
        <v>1750</v>
      </c>
      <c r="M99" s="24">
        <v>330</v>
      </c>
      <c r="N99" s="29">
        <v>1760</v>
      </c>
      <c r="O99" s="15"/>
    </row>
    <row r="100" spans="1:15" s="16" customFormat="1" ht="17.149999999999999" customHeight="1" x14ac:dyDescent="0.35">
      <c r="A100" s="107"/>
      <c r="B100" s="110"/>
      <c r="C100" s="113"/>
      <c r="D100" s="116"/>
      <c r="E100" s="119"/>
      <c r="F100" s="30" t="s">
        <v>24</v>
      </c>
      <c r="G100" s="18">
        <v>2820</v>
      </c>
      <c r="H100" s="53" t="str">
        <f>HYPERLINK("https://smesgodigital.gov.sg/web/solution/CISOAASCE_201724961H20260108_HIB_4","S$9,400.00")</f>
        <v>S$9,400.00</v>
      </c>
      <c r="I100" s="67">
        <v>2850</v>
      </c>
      <c r="J100" s="56" t="str">
        <f>HYPERLINK("https://smesgodigital.gov.sg/web/solution/CISOAASCE_201724961H20260108_HIMS_4","S$9,500.00")</f>
        <v>S$9,500.00</v>
      </c>
      <c r="K100" s="21">
        <v>325</v>
      </c>
      <c r="L100" s="22">
        <v>2950</v>
      </c>
      <c r="M100" s="18">
        <v>330</v>
      </c>
      <c r="N100" s="23">
        <v>2960</v>
      </c>
      <c r="O100" s="15"/>
    </row>
    <row r="101" spans="1:15" s="16" customFormat="1" ht="17.149999999999999" customHeight="1" x14ac:dyDescent="0.35">
      <c r="A101" s="107"/>
      <c r="B101" s="110"/>
      <c r="C101" s="113"/>
      <c r="D101" s="116"/>
      <c r="E101" s="119"/>
      <c r="F101" s="30" t="s">
        <v>25</v>
      </c>
      <c r="G101" s="18">
        <v>4050</v>
      </c>
      <c r="H101" s="54" t="str">
        <f>HYPERLINK("https://smesgodigital.gov.sg/web/solution/CISOAASCE_201724961H20260108_HIB_5","S$13,500.00")</f>
        <v>S$13,500.00</v>
      </c>
      <c r="I101" s="66">
        <v>4080</v>
      </c>
      <c r="J101" s="57" t="str">
        <f>HYPERLINK("https://smesgodigital.gov.sg/web/solution/CISOAASCE_201724961H20260108_HIMS_5","S$13,600.00")</f>
        <v>S$13,600.00</v>
      </c>
      <c r="K101" s="27">
        <v>325</v>
      </c>
      <c r="L101" s="28">
        <v>4950</v>
      </c>
      <c r="M101" s="24">
        <v>330</v>
      </c>
      <c r="N101" s="29">
        <v>4960</v>
      </c>
      <c r="O101" s="15"/>
    </row>
    <row r="102" spans="1:15" s="16" customFormat="1" ht="17.149999999999999" customHeight="1" x14ac:dyDescent="0.35">
      <c r="A102" s="107"/>
      <c r="B102" s="110"/>
      <c r="C102" s="113"/>
      <c r="D102" s="116"/>
      <c r="E102" s="119"/>
      <c r="F102" s="30" t="s">
        <v>26</v>
      </c>
      <c r="G102" s="18">
        <v>5100</v>
      </c>
      <c r="H102" s="53" t="str">
        <f>HYPERLINK("https://smesgodigital.gov.sg/web/solution/CISOAASCE_201724961H20260108_HIB_6","S$17,000.00")</f>
        <v>S$17,000.00</v>
      </c>
      <c r="I102" s="67">
        <v>5130</v>
      </c>
      <c r="J102" s="56" t="str">
        <f>HYPERLINK("https://smesgodigital.gov.sg/web/solution/CISOAASCE_201724961H20260108_HIMS_6","S$17,100.00")</f>
        <v>S$17,100.00</v>
      </c>
      <c r="K102" s="21">
        <v>325</v>
      </c>
      <c r="L102" s="22">
        <v>8150</v>
      </c>
      <c r="M102" s="18">
        <v>330</v>
      </c>
      <c r="N102" s="23">
        <v>8160</v>
      </c>
      <c r="O102" s="15"/>
    </row>
    <row r="103" spans="1:15" s="16" customFormat="1" ht="17.149999999999999" customHeight="1" x14ac:dyDescent="0.35">
      <c r="A103" s="107"/>
      <c r="B103" s="110"/>
      <c r="C103" s="113"/>
      <c r="D103" s="116"/>
      <c r="E103" s="119"/>
      <c r="F103" s="30" t="s">
        <v>27</v>
      </c>
      <c r="G103" s="60"/>
      <c r="H103" s="61">
        <v>4500</v>
      </c>
      <c r="I103" s="62"/>
      <c r="J103" s="61">
        <v>4600</v>
      </c>
      <c r="K103" s="27">
        <v>325</v>
      </c>
      <c r="L103" s="28">
        <v>3350</v>
      </c>
      <c r="M103" s="24">
        <v>330</v>
      </c>
      <c r="N103" s="29">
        <v>3360</v>
      </c>
      <c r="O103" s="15"/>
    </row>
    <row r="104" spans="1:15" s="16" customFormat="1" ht="17.149999999999999" customHeight="1" thickBot="1" x14ac:dyDescent="0.4">
      <c r="A104" s="108"/>
      <c r="B104" s="111"/>
      <c r="C104" s="114"/>
      <c r="D104" s="117"/>
      <c r="E104" s="120"/>
      <c r="F104" s="33" t="s">
        <v>28</v>
      </c>
      <c r="G104" s="72"/>
      <c r="H104" s="71">
        <v>4500</v>
      </c>
      <c r="I104" s="68"/>
      <c r="J104" s="71">
        <v>4600</v>
      </c>
      <c r="K104" s="37">
        <v>325</v>
      </c>
      <c r="L104" s="38">
        <v>3350</v>
      </c>
      <c r="M104" s="39">
        <v>330</v>
      </c>
      <c r="N104" s="35">
        <v>3360</v>
      </c>
      <c r="O104" s="15"/>
    </row>
    <row r="105" spans="1:15" s="16" customFormat="1" ht="17.149999999999999" customHeight="1" x14ac:dyDescent="0.35">
      <c r="A105" s="106">
        <v>12</v>
      </c>
      <c r="B105" s="109" t="s">
        <v>63</v>
      </c>
      <c r="C105" s="112" t="s">
        <v>41</v>
      </c>
      <c r="D105" s="115" t="s">
        <v>64</v>
      </c>
      <c r="E105" s="118" t="s">
        <v>42</v>
      </c>
      <c r="F105" s="10" t="s">
        <v>21</v>
      </c>
      <c r="G105" s="11">
        <v>1395</v>
      </c>
      <c r="H105" s="55" t="str">
        <f>HYPERLINK("https://smesgodigital.gov.sg/web/solution/CISOAASCE_200711011C20260108_HIB_1","S$4,650.00")</f>
        <v>S$4,650.00</v>
      </c>
      <c r="I105" s="70">
        <v>1655</v>
      </c>
      <c r="J105" s="55" t="str">
        <f>HYPERLINK("https://smesgodigital.gov.sg/web/solution/CISOAASCE_200711011C20260108_HIMS_1","S$5,515.00")</f>
        <v>S$5,515.00</v>
      </c>
      <c r="K105" s="12">
        <v>150</v>
      </c>
      <c r="L105" s="13">
        <v>550</v>
      </c>
      <c r="M105" s="11">
        <v>175</v>
      </c>
      <c r="N105" s="14">
        <v>625</v>
      </c>
      <c r="O105" s="15"/>
    </row>
    <row r="106" spans="1:15" s="16" customFormat="1" ht="17.149999999999999" customHeight="1" x14ac:dyDescent="0.35">
      <c r="A106" s="107"/>
      <c r="B106" s="110"/>
      <c r="C106" s="113"/>
      <c r="D106" s="116"/>
      <c r="E106" s="119"/>
      <c r="F106" s="17" t="s">
        <v>22</v>
      </c>
      <c r="G106" s="18">
        <v>1440</v>
      </c>
      <c r="H106" s="53" t="str">
        <f>HYPERLINK("https://smesgodigital.gov.sg/web/solution/CISOAASCE_200711011C20260108_HIB_2","S$4,800.00")</f>
        <v>S$4,800.00</v>
      </c>
      <c r="I106" s="67">
        <v>1695</v>
      </c>
      <c r="J106" s="56" t="str">
        <f>HYPERLINK("https://smesgodigital.gov.sg/web/solution/CISOAASCE_200711011C20260108_HIMS_2","S$5,650.00")</f>
        <v>S$5,650.00</v>
      </c>
      <c r="K106" s="21">
        <v>150</v>
      </c>
      <c r="L106" s="22">
        <v>550</v>
      </c>
      <c r="M106" s="18">
        <v>175</v>
      </c>
      <c r="N106" s="23">
        <v>625</v>
      </c>
      <c r="O106" s="15"/>
    </row>
    <row r="107" spans="1:15" s="16" customFormat="1" ht="17.149999999999999" customHeight="1" x14ac:dyDescent="0.35">
      <c r="A107" s="107"/>
      <c r="B107" s="110"/>
      <c r="C107" s="113"/>
      <c r="D107" s="116"/>
      <c r="E107" s="119"/>
      <c r="F107" s="17" t="s">
        <v>23</v>
      </c>
      <c r="G107" s="18">
        <v>2588</v>
      </c>
      <c r="H107" s="54" t="str">
        <f>HYPERLINK("https://smesgodigital.gov.sg/web/solution/CISOAASCE_200711011C20260108_HIB_3","S$8,450.00")</f>
        <v>S$8,450.00</v>
      </c>
      <c r="I107" s="66">
        <v>3002</v>
      </c>
      <c r="J107" s="57" t="str">
        <f>HYPERLINK("https://smesgodigital.gov.sg/web/solution/CISOAASCE_200711011C20260108_HIMS_3","S$9,375.00")</f>
        <v>S$9,375.00</v>
      </c>
      <c r="K107" s="27">
        <v>150</v>
      </c>
      <c r="L107" s="28">
        <v>600</v>
      </c>
      <c r="M107" s="24">
        <v>175</v>
      </c>
      <c r="N107" s="29">
        <v>675</v>
      </c>
      <c r="O107" s="15"/>
    </row>
    <row r="108" spans="1:15" s="16" customFormat="1" ht="17.149999999999999" customHeight="1" x14ac:dyDescent="0.35">
      <c r="A108" s="107"/>
      <c r="B108" s="110"/>
      <c r="C108" s="113"/>
      <c r="D108" s="116"/>
      <c r="E108" s="119"/>
      <c r="F108" s="30" t="s">
        <v>24</v>
      </c>
      <c r="G108" s="18">
        <v>3885</v>
      </c>
      <c r="H108" s="53" t="str">
        <f>HYPERLINK("https://smesgodigital.gov.sg/web/solution/CISOAASCE_200711011C20260108_HIB_4","S$12,950.00")</f>
        <v>S$12,950.00</v>
      </c>
      <c r="I108" s="67">
        <v>4444</v>
      </c>
      <c r="J108" s="56" t="str">
        <f>HYPERLINK("https://smesgodigital.gov.sg/web/solution/CISOAASCE_200711011C20260108_HIMS_4","S$14,375.00")</f>
        <v>S$14,375.00</v>
      </c>
      <c r="K108" s="21">
        <v>150</v>
      </c>
      <c r="L108" s="22">
        <v>800</v>
      </c>
      <c r="M108" s="18">
        <v>175</v>
      </c>
      <c r="N108" s="23">
        <v>875</v>
      </c>
      <c r="O108" s="15"/>
    </row>
    <row r="109" spans="1:15" s="16" customFormat="1" ht="17.149999999999999" customHeight="1" x14ac:dyDescent="0.35">
      <c r="A109" s="107"/>
      <c r="B109" s="110"/>
      <c r="C109" s="113"/>
      <c r="D109" s="116"/>
      <c r="E109" s="119"/>
      <c r="F109" s="30" t="s">
        <v>25</v>
      </c>
      <c r="G109" s="18">
        <v>5910</v>
      </c>
      <c r="H109" s="54" t="str">
        <f>HYPERLINK("https://smesgodigital.gov.sg/web/solution/CISOAASCE_200711011C20260108_HIB_5","S$19,700.00")</f>
        <v>S$19,700.00</v>
      </c>
      <c r="I109" s="66">
        <v>6563</v>
      </c>
      <c r="J109" s="57" t="str">
        <f>HYPERLINK("https://smesgodigital.gov.sg/web/solution/CISOAASCE_200711011C20260108_HIMS_5","S$21,875.00")</f>
        <v>S$21,875.00</v>
      </c>
      <c r="K109" s="27">
        <v>150</v>
      </c>
      <c r="L109" s="28">
        <v>900</v>
      </c>
      <c r="M109" s="24">
        <v>175</v>
      </c>
      <c r="N109" s="29">
        <v>975</v>
      </c>
      <c r="O109" s="15"/>
    </row>
    <row r="110" spans="1:15" s="16" customFormat="1" ht="17.149999999999999" customHeight="1" x14ac:dyDescent="0.35">
      <c r="A110" s="107"/>
      <c r="B110" s="110"/>
      <c r="C110" s="113"/>
      <c r="D110" s="116"/>
      <c r="E110" s="119"/>
      <c r="F110" s="30" t="s">
        <v>26</v>
      </c>
      <c r="G110" s="18">
        <v>8438</v>
      </c>
      <c r="H110" s="53" t="str">
        <f>HYPERLINK("https://smesgodigital.gov.sg/web/solution/CISOAASCE_200711011C20260108_HIB_6","S$28,125.00")</f>
        <v>S$28,125.00</v>
      </c>
      <c r="I110" s="67">
        <v>9375</v>
      </c>
      <c r="J110" s="56" t="str">
        <f>HYPERLINK("https://smesgodigital.gov.sg/web/solution/CISOAASCE_200711011C20260108_HIMS_6","S$31,250.00")</f>
        <v>S$31,250.00</v>
      </c>
      <c r="K110" s="21">
        <v>150</v>
      </c>
      <c r="L110" s="22">
        <v>950</v>
      </c>
      <c r="M110" s="18">
        <v>175</v>
      </c>
      <c r="N110" s="23">
        <v>1025</v>
      </c>
      <c r="O110" s="15"/>
    </row>
    <row r="111" spans="1:15" s="16" customFormat="1" ht="17.149999999999999" customHeight="1" x14ac:dyDescent="0.35">
      <c r="A111" s="107"/>
      <c r="B111" s="110"/>
      <c r="C111" s="113"/>
      <c r="D111" s="116"/>
      <c r="E111" s="119"/>
      <c r="F111" s="30" t="s">
        <v>27</v>
      </c>
      <c r="G111" s="31"/>
      <c r="H111" s="29">
        <v>7350</v>
      </c>
      <c r="I111" s="62"/>
      <c r="J111" s="29">
        <v>7875</v>
      </c>
      <c r="K111" s="27">
        <v>150</v>
      </c>
      <c r="L111" s="28">
        <v>800</v>
      </c>
      <c r="M111" s="24">
        <v>175</v>
      </c>
      <c r="N111" s="29">
        <v>800</v>
      </c>
      <c r="O111" s="15"/>
    </row>
    <row r="112" spans="1:15" s="16" customFormat="1" ht="17.149999999999999" customHeight="1" thickBot="1" x14ac:dyDescent="0.4">
      <c r="A112" s="108"/>
      <c r="B112" s="111"/>
      <c r="C112" s="114"/>
      <c r="D112" s="117"/>
      <c r="E112" s="120"/>
      <c r="F112" s="33" t="s">
        <v>28</v>
      </c>
      <c r="G112" s="34"/>
      <c r="H112" s="35">
        <v>5250</v>
      </c>
      <c r="I112" s="68"/>
      <c r="J112" s="35">
        <v>5625</v>
      </c>
      <c r="K112" s="37">
        <v>150</v>
      </c>
      <c r="L112" s="38">
        <v>800</v>
      </c>
      <c r="M112" s="39">
        <v>175</v>
      </c>
      <c r="N112" s="35">
        <v>800</v>
      </c>
      <c r="O112" s="15"/>
    </row>
    <row r="113" spans="1:15" s="16" customFormat="1" ht="17.149999999999999" customHeight="1" x14ac:dyDescent="0.35">
      <c r="A113" s="106">
        <v>13</v>
      </c>
      <c r="B113" s="109" t="s">
        <v>59</v>
      </c>
      <c r="C113" s="112" t="s">
        <v>60</v>
      </c>
      <c r="D113" s="115" t="s">
        <v>61</v>
      </c>
      <c r="E113" s="118" t="s">
        <v>62</v>
      </c>
      <c r="F113" s="10" t="s">
        <v>21</v>
      </c>
      <c r="G113" s="11">
        <v>14106.83</v>
      </c>
      <c r="H113" s="93" t="str">
        <f>HYPERLINK("https://smesgodigital.gov.sg/web/solution/CISOAASCE_200003956G20260511_HIB_1","S$18,000.00")</f>
        <v>S$18,000.00</v>
      </c>
      <c r="I113" s="70">
        <v>13885.05</v>
      </c>
      <c r="J113" s="55" t="str">
        <f>HYPERLINK("https://smesgodigital.gov.sg/web/solution/CISOAASCE_200003956G20260511_HIMS_1","S$18,000.00")</f>
        <v>S$18,000.00</v>
      </c>
      <c r="K113" s="12">
        <v>225</v>
      </c>
      <c r="L113" s="13">
        <v>9000</v>
      </c>
      <c r="M113" s="11">
        <v>225</v>
      </c>
      <c r="N113" s="14">
        <v>9000</v>
      </c>
      <c r="O113" s="15"/>
    </row>
    <row r="114" spans="1:15" s="16" customFormat="1" ht="17.149999999999999" customHeight="1" x14ac:dyDescent="0.35">
      <c r="A114" s="107"/>
      <c r="B114" s="110"/>
      <c r="C114" s="113"/>
      <c r="D114" s="116"/>
      <c r="E114" s="119"/>
      <c r="F114" s="17" t="s">
        <v>22</v>
      </c>
      <c r="G114" s="18">
        <v>13689.17</v>
      </c>
      <c r="H114" s="53" t="str">
        <f>HYPERLINK("https://smesgodigital.gov.sg/web/solution/CISOAASCE_200003956G20260511_HIB_2","S$18,000.00")</f>
        <v>S$18,000.00</v>
      </c>
      <c r="I114" s="66">
        <v>13537.85</v>
      </c>
      <c r="J114" s="56" t="str">
        <f>HYPERLINK("https://smesgodigital.gov.sg/web/solution/CISOAASCE_200003956G20260511_HIMS_2","S$18,000.00")</f>
        <v>S$18,000.00</v>
      </c>
      <c r="K114" s="21">
        <v>225</v>
      </c>
      <c r="L114" s="22">
        <v>9000</v>
      </c>
      <c r="M114" s="18">
        <v>225</v>
      </c>
      <c r="N114" s="23">
        <v>9000</v>
      </c>
      <c r="O114" s="15"/>
    </row>
    <row r="115" spans="1:15" s="16" customFormat="1" ht="17.149999999999999" customHeight="1" x14ac:dyDescent="0.35">
      <c r="A115" s="107"/>
      <c r="B115" s="110"/>
      <c r="C115" s="113"/>
      <c r="D115" s="116"/>
      <c r="E115" s="119"/>
      <c r="F115" s="17" t="s">
        <v>23</v>
      </c>
      <c r="G115" s="18">
        <v>14137.5</v>
      </c>
      <c r="H115" s="54" t="str">
        <f>HYPERLINK("https://smesgodigital.gov.sg/web/solution/CISOAASCE_200003956G20260511_HIB_3","S$20,000.00")</f>
        <v>S$20,000.00</v>
      </c>
      <c r="I115" s="66">
        <v>13626.85</v>
      </c>
      <c r="J115" s="57" t="str">
        <f>HYPERLINK("https://smesgodigital.gov.sg/web/solution/CISOAASCE_200003956G20260511_HIMS_3","S$20,000.00")</f>
        <v>S$20,000.00</v>
      </c>
      <c r="K115" s="27">
        <v>225</v>
      </c>
      <c r="L115" s="28">
        <v>9000</v>
      </c>
      <c r="M115" s="24">
        <v>225</v>
      </c>
      <c r="N115" s="29">
        <v>9000</v>
      </c>
      <c r="O115" s="15"/>
    </row>
    <row r="116" spans="1:15" s="16" customFormat="1" ht="17.149999999999999" customHeight="1" x14ac:dyDescent="0.35">
      <c r="A116" s="107"/>
      <c r="B116" s="110"/>
      <c r="C116" s="113"/>
      <c r="D116" s="116"/>
      <c r="E116" s="119"/>
      <c r="F116" s="30" t="s">
        <v>24</v>
      </c>
      <c r="G116" s="18">
        <v>12660.83</v>
      </c>
      <c r="H116" s="53" t="str">
        <f>HYPERLINK("https://smesgodigital.gov.sg/web/solution/CISOAASCE_200003956G20260511_HIB_4","S$22,000.00")</f>
        <v>S$22,000.00</v>
      </c>
      <c r="I116" s="66">
        <v>12068.52</v>
      </c>
      <c r="J116" s="56" t="str">
        <f>HYPERLINK("https://smesgodigital.gov.sg/web/solution/CISOAASCE_200003956G20260511_HIMS_4","S$22,000.00")</f>
        <v>S$22,000.00</v>
      </c>
      <c r="K116" s="21">
        <v>225</v>
      </c>
      <c r="L116" s="22">
        <v>12000</v>
      </c>
      <c r="M116" s="18">
        <v>225</v>
      </c>
      <c r="N116" s="23">
        <v>12000</v>
      </c>
      <c r="O116" s="15"/>
    </row>
    <row r="117" spans="1:15" s="16" customFormat="1" ht="17.149999999999999" customHeight="1" x14ac:dyDescent="0.35">
      <c r="A117" s="107"/>
      <c r="B117" s="110"/>
      <c r="C117" s="113"/>
      <c r="D117" s="116"/>
      <c r="E117" s="119"/>
      <c r="F117" s="30" t="s">
        <v>25</v>
      </c>
      <c r="G117" s="18">
        <v>10360.67</v>
      </c>
      <c r="H117" s="54" t="str">
        <f>HYPERLINK("https://smesgodigital.gov.sg/web/solution/CISOAASCE_200003956G20260511_HIB_5","S$25,000.00")</f>
        <v>S$25,000.00</v>
      </c>
      <c r="I117" s="66">
        <v>9632.08</v>
      </c>
      <c r="J117" s="57" t="str">
        <f>HYPERLINK("https://smesgodigital.gov.sg/web/solution/CISOAASCE_200003956G20260511_HIMS_5","S$25,000.00")</f>
        <v>S$25,000.00</v>
      </c>
      <c r="K117" s="27">
        <v>225</v>
      </c>
      <c r="L117" s="28">
        <v>15000</v>
      </c>
      <c r="M117" s="24">
        <v>225</v>
      </c>
      <c r="N117" s="29">
        <v>15000</v>
      </c>
      <c r="O117" s="15"/>
    </row>
    <row r="118" spans="1:15" s="16" customFormat="1" ht="17.149999999999999" customHeight="1" x14ac:dyDescent="0.35">
      <c r="A118" s="107"/>
      <c r="B118" s="110"/>
      <c r="C118" s="113"/>
      <c r="D118" s="116"/>
      <c r="E118" s="119"/>
      <c r="F118" s="30" t="s">
        <v>26</v>
      </c>
      <c r="G118" s="18">
        <v>9000</v>
      </c>
      <c r="H118" s="53" t="str">
        <f>HYPERLINK("https://smesgodigital.gov.sg/web/solution/CISOAASCE_200003956G20260511_HIB_6","S$30,000.00")</f>
        <v>S$30,000.00</v>
      </c>
      <c r="I118" s="67">
        <v>9000</v>
      </c>
      <c r="J118" s="56" t="str">
        <f>HYPERLINK("https://smesgodigital.gov.sg/web/solution/CISOAASCE_200003956G20260511_HIMS_6","S$30,000.00")</f>
        <v>S$30,000.00</v>
      </c>
      <c r="K118" s="21">
        <v>225</v>
      </c>
      <c r="L118" s="22">
        <v>18000</v>
      </c>
      <c r="M118" s="18">
        <v>225</v>
      </c>
      <c r="N118" s="23">
        <v>18000</v>
      </c>
      <c r="O118" s="15"/>
    </row>
    <row r="119" spans="1:15" s="16" customFormat="1" ht="17.149999999999999" customHeight="1" x14ac:dyDescent="0.35">
      <c r="A119" s="107"/>
      <c r="B119" s="110"/>
      <c r="C119" s="113"/>
      <c r="D119" s="116"/>
      <c r="E119" s="119"/>
      <c r="F119" s="30" t="s">
        <v>27</v>
      </c>
      <c r="G119" s="31"/>
      <c r="H119" s="29">
        <v>15000</v>
      </c>
      <c r="I119" s="62"/>
      <c r="J119" s="29">
        <v>15000</v>
      </c>
      <c r="K119" s="27">
        <v>225</v>
      </c>
      <c r="L119" s="28">
        <v>9000</v>
      </c>
      <c r="M119" s="24">
        <v>225</v>
      </c>
      <c r="N119" s="29">
        <v>9000</v>
      </c>
      <c r="O119" s="15"/>
    </row>
    <row r="120" spans="1:15" s="16" customFormat="1" ht="17.149999999999999" customHeight="1" thickBot="1" x14ac:dyDescent="0.4">
      <c r="A120" s="108"/>
      <c r="B120" s="111"/>
      <c r="C120" s="114"/>
      <c r="D120" s="117"/>
      <c r="E120" s="120"/>
      <c r="F120" s="33" t="s">
        <v>28</v>
      </c>
      <c r="G120" s="34"/>
      <c r="H120" s="35">
        <v>15000</v>
      </c>
      <c r="I120" s="68"/>
      <c r="J120" s="35">
        <v>15000</v>
      </c>
      <c r="K120" s="37">
        <v>225</v>
      </c>
      <c r="L120" s="38">
        <v>9000</v>
      </c>
      <c r="M120" s="39">
        <v>225</v>
      </c>
      <c r="N120" s="35">
        <v>9000</v>
      </c>
      <c r="O120" s="15"/>
    </row>
    <row r="121" spans="1:15" s="16" customFormat="1" ht="17.149999999999999" customHeight="1" x14ac:dyDescent="0.35">
      <c r="A121" s="106">
        <v>14</v>
      </c>
      <c r="B121" s="109" t="s">
        <v>80</v>
      </c>
      <c r="C121" s="112" t="s">
        <v>71</v>
      </c>
      <c r="D121" s="115" t="s">
        <v>79</v>
      </c>
      <c r="E121" s="118" t="s">
        <v>72</v>
      </c>
      <c r="F121" s="10" t="s">
        <v>21</v>
      </c>
      <c r="G121" s="11">
        <v>2606.83</v>
      </c>
      <c r="H121" s="55" t="str">
        <f>HYPERLINK("https://smesgodigital.gov.sg/web/solution/CISOAASCE_202200424D20260716_HIB_1","S$6,500.00")</f>
        <v>S$6,500.00</v>
      </c>
      <c r="I121" s="70">
        <v>2885.05</v>
      </c>
      <c r="J121" s="55" t="str">
        <f>HYPERLINK("https://smesgodigital.gov.sg/web/solution/CISOAASCE_202200424D20260716_HIMS_1","S$7,000.00")</f>
        <v>S$7,000.00</v>
      </c>
      <c r="K121" s="12">
        <v>250</v>
      </c>
      <c r="L121" s="13">
        <v>1600</v>
      </c>
      <c r="M121" s="11">
        <v>250</v>
      </c>
      <c r="N121" s="14">
        <v>2000</v>
      </c>
      <c r="O121" s="15"/>
    </row>
    <row r="122" spans="1:15" s="16" customFormat="1" ht="17.149999999999999" customHeight="1" x14ac:dyDescent="0.35">
      <c r="A122" s="107"/>
      <c r="B122" s="110"/>
      <c r="C122" s="113"/>
      <c r="D122" s="116"/>
      <c r="E122" s="119"/>
      <c r="F122" s="17" t="s">
        <v>22</v>
      </c>
      <c r="G122" s="18">
        <v>2689.17</v>
      </c>
      <c r="H122" s="56" t="str">
        <f>HYPERLINK("https://smesgodigital.gov.sg/web/solution/CISOAASCE_202200424D20260716_HIB_2","S$7,000.00")</f>
        <v>S$7,000.00</v>
      </c>
      <c r="I122" s="67">
        <v>3137.8500000000004</v>
      </c>
      <c r="J122" s="56" t="str">
        <f>HYPERLINK("https://smesgodigital.gov.sg/web/solution/CISOAASCE_202200424D20260716_HIMS_2","S$7,600.00")</f>
        <v>S$7,600.00</v>
      </c>
      <c r="K122" s="21">
        <v>250</v>
      </c>
      <c r="L122" s="22">
        <v>1800</v>
      </c>
      <c r="M122" s="18">
        <v>250</v>
      </c>
      <c r="N122" s="23">
        <v>2200</v>
      </c>
      <c r="O122" s="15"/>
    </row>
    <row r="123" spans="1:15" s="16" customFormat="1" ht="17.149999999999999" customHeight="1" x14ac:dyDescent="0.35">
      <c r="A123" s="107"/>
      <c r="B123" s="110"/>
      <c r="C123" s="113"/>
      <c r="D123" s="116"/>
      <c r="E123" s="119"/>
      <c r="F123" s="17" t="s">
        <v>23</v>
      </c>
      <c r="G123" s="18">
        <v>3637.5</v>
      </c>
      <c r="H123" s="57" t="str">
        <f>HYPERLINK("https://smesgodigital.gov.sg/web/solution/CISOAASCE_202200424D20260716_HIB_3","S$9,500.00")</f>
        <v>S$9,500.00</v>
      </c>
      <c r="I123" s="66">
        <v>4126.8500000000004</v>
      </c>
      <c r="J123" s="57" t="str">
        <f>HYPERLINK("https://smesgodigital.gov.sg/web/solution/CISOAASCE_202200424D20260716_HIMS_3","S$10,500.00")</f>
        <v>S$10,500.00</v>
      </c>
      <c r="K123" s="27">
        <v>250</v>
      </c>
      <c r="L123" s="28">
        <v>2400</v>
      </c>
      <c r="M123" s="24">
        <v>250</v>
      </c>
      <c r="N123" s="29">
        <v>3000</v>
      </c>
      <c r="O123" s="15"/>
    </row>
    <row r="124" spans="1:15" s="16" customFormat="1" ht="17.149999999999999" customHeight="1" x14ac:dyDescent="0.35">
      <c r="A124" s="107"/>
      <c r="B124" s="110"/>
      <c r="C124" s="113"/>
      <c r="D124" s="116"/>
      <c r="E124" s="119"/>
      <c r="F124" s="30" t="s">
        <v>24</v>
      </c>
      <c r="G124" s="18">
        <v>4660.83</v>
      </c>
      <c r="H124" s="56" t="str">
        <f>HYPERLINK("https://smesgodigital.gov.sg/web/solution/CISOAASCE_202200424D20260716_HIB_4","S$14,000.00")</f>
        <v>S$14,000.00</v>
      </c>
      <c r="I124" s="67">
        <v>6068.52</v>
      </c>
      <c r="J124" s="56" t="str">
        <f>HYPERLINK("https://smesgodigital.gov.sg/web/solution/CISOAASCE_202200424D20260716_HIMS_4","S$16,000.00")</f>
        <v>S$16,000.00</v>
      </c>
      <c r="K124" s="21">
        <v>250</v>
      </c>
      <c r="L124" s="22">
        <v>4000</v>
      </c>
      <c r="M124" s="18">
        <v>250</v>
      </c>
      <c r="N124" s="23">
        <v>4800</v>
      </c>
      <c r="O124" s="15"/>
    </row>
    <row r="125" spans="1:15" s="16" customFormat="1" ht="17.149999999999999" customHeight="1" x14ac:dyDescent="0.35">
      <c r="A125" s="107"/>
      <c r="B125" s="110"/>
      <c r="C125" s="113"/>
      <c r="D125" s="116"/>
      <c r="E125" s="119"/>
      <c r="F125" s="30" t="s">
        <v>25</v>
      </c>
      <c r="G125" s="18">
        <v>6000</v>
      </c>
      <c r="H125" s="57" t="str">
        <f>HYPERLINK("https://smesgodigital.gov.sg/web/solution/CISOAASCE_202200424D20260716_HIB_5","S$20,000.00")</f>
        <v>S$20,000.00</v>
      </c>
      <c r="I125" s="66">
        <v>6632.08</v>
      </c>
      <c r="J125" s="57" t="str">
        <f>HYPERLINK("https://smesgodigital.gov.sg/web/solution/CISOAASCE_202200424D20260716_HIMS_5","S$22,000.00")</f>
        <v>S$22,000.00</v>
      </c>
      <c r="K125" s="27">
        <v>250</v>
      </c>
      <c r="L125" s="28">
        <v>6800</v>
      </c>
      <c r="M125" s="24">
        <v>250</v>
      </c>
      <c r="N125" s="29">
        <v>7800</v>
      </c>
      <c r="O125" s="15"/>
    </row>
    <row r="126" spans="1:15" s="16" customFormat="1" ht="17.149999999999999" customHeight="1" x14ac:dyDescent="0.35">
      <c r="A126" s="107"/>
      <c r="B126" s="110"/>
      <c r="C126" s="113"/>
      <c r="D126" s="116"/>
      <c r="E126" s="119"/>
      <c r="F126" s="30" t="s">
        <v>26</v>
      </c>
      <c r="G126" s="18">
        <v>7500</v>
      </c>
      <c r="H126" s="56" t="str">
        <f>HYPERLINK("https://smesgodigital.gov.sg/web/solution/CISOAASCE_202200424D20260716_HIB_6","S$25,000.00")</f>
        <v>S$25,000.00</v>
      </c>
      <c r="I126" s="67">
        <v>8400</v>
      </c>
      <c r="J126" s="56" t="str">
        <f>HYPERLINK("https://smesgodigital.gov.sg/web/solution/CISOAASCE_202200424D20260716_HIMS_6","S$28,000.00")</f>
        <v>S$28,000.00</v>
      </c>
      <c r="K126" s="21">
        <v>250</v>
      </c>
      <c r="L126" s="22">
        <v>12500</v>
      </c>
      <c r="M126" s="18">
        <v>250</v>
      </c>
      <c r="N126" s="23">
        <v>14500</v>
      </c>
      <c r="O126" s="15"/>
    </row>
    <row r="127" spans="1:15" s="16" customFormat="1" ht="17.149999999999999" customHeight="1" x14ac:dyDescent="0.35">
      <c r="A127" s="107"/>
      <c r="B127" s="110"/>
      <c r="C127" s="113"/>
      <c r="D127" s="116"/>
      <c r="E127" s="119"/>
      <c r="F127" s="30" t="s">
        <v>27</v>
      </c>
      <c r="G127" s="31"/>
      <c r="H127" s="29">
        <v>20000</v>
      </c>
      <c r="I127" s="62"/>
      <c r="J127" s="29">
        <v>22000</v>
      </c>
      <c r="K127" s="85"/>
      <c r="L127" s="89"/>
      <c r="M127" s="85"/>
      <c r="N127" s="87"/>
      <c r="O127" s="15"/>
    </row>
    <row r="128" spans="1:15" s="16" customFormat="1" ht="17.149999999999999" customHeight="1" thickBot="1" x14ac:dyDescent="0.4">
      <c r="A128" s="108"/>
      <c r="B128" s="111"/>
      <c r="C128" s="114"/>
      <c r="D128" s="117"/>
      <c r="E128" s="120"/>
      <c r="F128" s="33" t="s">
        <v>28</v>
      </c>
      <c r="G128" s="34"/>
      <c r="H128" s="35">
        <v>25000</v>
      </c>
      <c r="I128" s="68"/>
      <c r="J128" s="35">
        <v>28000</v>
      </c>
      <c r="K128" s="86"/>
      <c r="L128" s="90"/>
      <c r="M128" s="86"/>
      <c r="N128" s="88"/>
      <c r="O128" s="15"/>
    </row>
    <row r="129" spans="1:15" s="16" customFormat="1" ht="17.149999999999999" customHeight="1" x14ac:dyDescent="0.35">
      <c r="A129" s="106">
        <v>15</v>
      </c>
      <c r="B129" s="109" t="s">
        <v>70</v>
      </c>
      <c r="C129" s="112" t="s">
        <v>73</v>
      </c>
      <c r="D129" s="115" t="s">
        <v>74</v>
      </c>
      <c r="E129" s="118" t="s">
        <v>75</v>
      </c>
      <c r="F129" s="10" t="s">
        <v>21</v>
      </c>
      <c r="G129" s="11">
        <v>1170</v>
      </c>
      <c r="H129" s="55" t="str">
        <f>HYPERLINK("https://smesgodigital.gov.sg/web/solution/CISOAASCE_199100798K20260716_HIB_1","S$3,900.00")</f>
        <v>S$3,900.00</v>
      </c>
      <c r="I129" s="70">
        <v>1110</v>
      </c>
      <c r="J129" s="55" t="str">
        <f>HYPERLINK("https://smesgodigital.gov.sg/web/solution/CISOAASCE_199100798K20260716_HIMS_1","S$3,700.00")</f>
        <v>S$3,700.00</v>
      </c>
      <c r="K129" s="84"/>
      <c r="L129" s="13">
        <v>380</v>
      </c>
      <c r="M129" s="84"/>
      <c r="N129" s="14">
        <v>420</v>
      </c>
      <c r="O129" s="15"/>
    </row>
    <row r="130" spans="1:15" s="16" customFormat="1" ht="17.149999999999999" customHeight="1" x14ac:dyDescent="0.35">
      <c r="A130" s="107"/>
      <c r="B130" s="110"/>
      <c r="C130" s="113"/>
      <c r="D130" s="116"/>
      <c r="E130" s="119"/>
      <c r="F130" s="17" t="s">
        <v>22</v>
      </c>
      <c r="G130" s="18">
        <v>1230</v>
      </c>
      <c r="H130" s="56" t="str">
        <f>HYPERLINK("https://smesgodigital.gov.sg/web/solution/CISOAASCE_199100798K20260716_HIB_2","S$4,100.00")</f>
        <v>S$4,100.00</v>
      </c>
      <c r="I130" s="67">
        <v>1185</v>
      </c>
      <c r="J130" s="94" t="str">
        <f>HYPERLINK("https://smesgodigital.gov.sg/web/solution/CISOAASCE_199100798K20260716_HIMS_2","S$3,950.00")</f>
        <v>S$3,950.00</v>
      </c>
      <c r="K130" s="87"/>
      <c r="L130" s="98">
        <v>380</v>
      </c>
      <c r="M130" s="87"/>
      <c r="N130" s="98">
        <v>430</v>
      </c>
      <c r="O130" s="15"/>
    </row>
    <row r="131" spans="1:15" s="16" customFormat="1" ht="17.149999999999999" customHeight="1" x14ac:dyDescent="0.35">
      <c r="A131" s="107"/>
      <c r="B131" s="110"/>
      <c r="C131" s="113"/>
      <c r="D131" s="116"/>
      <c r="E131" s="119"/>
      <c r="F131" s="17" t="s">
        <v>23</v>
      </c>
      <c r="G131" s="18">
        <v>1425</v>
      </c>
      <c r="H131" s="57" t="str">
        <f>HYPERLINK("https://smesgodigital.gov.sg/web/solution/CISOAASCE_199100798K20260716_HIB_3","S$4,750.00")</f>
        <v>S$4,750.00</v>
      </c>
      <c r="I131" s="66">
        <v>1440</v>
      </c>
      <c r="J131" s="95" t="str">
        <f>HYPERLINK("https://smesgodigital.gov.sg/web/solution/CISOAASCE_199100798K20260716_HIMS_3","S$4,800.00")</f>
        <v>S$4,800.00</v>
      </c>
      <c r="K131" s="87"/>
      <c r="L131" s="97">
        <v>380</v>
      </c>
      <c r="M131" s="87"/>
      <c r="N131" s="97">
        <v>450</v>
      </c>
      <c r="O131" s="15"/>
    </row>
    <row r="132" spans="1:15" s="16" customFormat="1" ht="17.149999999999999" customHeight="1" x14ac:dyDescent="0.35">
      <c r="A132" s="107"/>
      <c r="B132" s="110"/>
      <c r="C132" s="113"/>
      <c r="D132" s="116"/>
      <c r="E132" s="119"/>
      <c r="F132" s="30" t="s">
        <v>24</v>
      </c>
      <c r="G132" s="18">
        <v>2160</v>
      </c>
      <c r="H132" s="56" t="str">
        <f>HYPERLINK("https://smesgodigital.gov.sg/web/solution/CISOAASCE_199100798K20260716_HIB_4","S$7,200.00")</f>
        <v>S$7,200.00</v>
      </c>
      <c r="I132" s="67">
        <v>2160</v>
      </c>
      <c r="J132" s="94" t="str">
        <f>HYPERLINK("https://smesgodigital.gov.sg/web/solution/CISOAASCE_199100798K20260716_HIMS_4","S$7,200.00")</f>
        <v>S$7,200.00</v>
      </c>
      <c r="K132" s="87"/>
      <c r="L132" s="98">
        <v>440</v>
      </c>
      <c r="M132" s="87"/>
      <c r="N132" s="98">
        <v>660</v>
      </c>
      <c r="O132" s="15"/>
    </row>
    <row r="133" spans="1:15" s="16" customFormat="1" ht="17.149999999999999" customHeight="1" x14ac:dyDescent="0.35">
      <c r="A133" s="107"/>
      <c r="B133" s="110"/>
      <c r="C133" s="113"/>
      <c r="D133" s="116"/>
      <c r="E133" s="119"/>
      <c r="F133" s="30" t="s">
        <v>25</v>
      </c>
      <c r="G133" s="18">
        <v>3285</v>
      </c>
      <c r="H133" s="57" t="str">
        <f>HYPERLINK("https://smesgodigital.gov.sg/web/solution/CISOAASCE_199100798K20260716_HIB_5","S$10,950.00")</f>
        <v>S$10,950.00</v>
      </c>
      <c r="I133" s="66">
        <v>3285</v>
      </c>
      <c r="J133" s="95" t="str">
        <f>HYPERLINK("https://smesgodigital.gov.sg/web/solution/CISOAASCE_199100798K20260716_HIMS_5","S$10,950.00")</f>
        <v>S$10,950.00</v>
      </c>
      <c r="K133" s="87"/>
      <c r="L133" s="97">
        <v>620</v>
      </c>
      <c r="M133" s="87"/>
      <c r="N133" s="97">
        <v>960</v>
      </c>
      <c r="O133" s="15"/>
    </row>
    <row r="134" spans="1:15" s="16" customFormat="1" ht="17.149999999999999" customHeight="1" x14ac:dyDescent="0.35">
      <c r="A134" s="107"/>
      <c r="B134" s="110"/>
      <c r="C134" s="113"/>
      <c r="D134" s="116"/>
      <c r="E134" s="119"/>
      <c r="F134" s="30" t="s">
        <v>26</v>
      </c>
      <c r="G134" s="18">
        <v>4785</v>
      </c>
      <c r="H134" s="56" t="str">
        <f>HYPERLINK("https://smesgodigital.gov.sg/web/solution/CISOAASCE_199100798K20260716_HIB_6","S$15,950.00")</f>
        <v>S$15,950.00</v>
      </c>
      <c r="I134" s="67">
        <v>4785</v>
      </c>
      <c r="J134" s="94" t="str">
        <f>HYPERLINK("https://smesgodigital.gov.sg/web/solution/CISOAASCE_199100798K20260716_HIMS_6","S$15,950.00")</f>
        <v>S$15,950.00</v>
      </c>
      <c r="K134" s="87"/>
      <c r="L134" s="98">
        <v>660</v>
      </c>
      <c r="M134" s="87"/>
      <c r="N134" s="98">
        <v>990</v>
      </c>
      <c r="O134" s="15"/>
    </row>
    <row r="135" spans="1:15" s="16" customFormat="1" ht="17.149999999999999" customHeight="1" x14ac:dyDescent="0.35">
      <c r="A135" s="107"/>
      <c r="B135" s="110"/>
      <c r="C135" s="113"/>
      <c r="D135" s="116"/>
      <c r="E135" s="119"/>
      <c r="F135" s="30" t="s">
        <v>27</v>
      </c>
      <c r="G135" s="92"/>
      <c r="H135" s="87"/>
      <c r="I135" s="87"/>
      <c r="J135" s="87"/>
      <c r="K135" s="87"/>
      <c r="L135" s="87"/>
      <c r="M135" s="87"/>
      <c r="N135" s="87"/>
      <c r="O135" s="15"/>
    </row>
    <row r="136" spans="1:15" s="16" customFormat="1" ht="17.149999999999999" customHeight="1" thickBot="1" x14ac:dyDescent="0.4">
      <c r="A136" s="108"/>
      <c r="B136" s="111"/>
      <c r="C136" s="114"/>
      <c r="D136" s="117"/>
      <c r="E136" s="120"/>
      <c r="F136" s="33" t="s">
        <v>28</v>
      </c>
      <c r="G136" s="101"/>
      <c r="H136" s="102"/>
      <c r="I136" s="102"/>
      <c r="J136" s="102"/>
      <c r="K136" s="102"/>
      <c r="L136" s="102"/>
      <c r="M136" s="102"/>
      <c r="N136" s="102"/>
      <c r="O136" s="15"/>
    </row>
    <row r="137" spans="1:15" s="16" customFormat="1" ht="17.149999999999999" customHeight="1" x14ac:dyDescent="0.35">
      <c r="A137" s="106">
        <v>16</v>
      </c>
      <c r="B137" s="109" t="s">
        <v>88</v>
      </c>
      <c r="C137" s="112" t="s">
        <v>86</v>
      </c>
      <c r="D137" s="115" t="s">
        <v>87</v>
      </c>
      <c r="E137" s="118" t="s">
        <v>85</v>
      </c>
      <c r="F137" s="10" t="s">
        <v>21</v>
      </c>
      <c r="G137" s="11">
        <v>734.4</v>
      </c>
      <c r="H137" s="96" t="str">
        <f>HYPERLINK("https://smesgodigital.gov.sg/web/solution/CISOAASCE_202517794Z20260928_HIB_1","S$2,448.00")</f>
        <v>S$2,448.00</v>
      </c>
      <c r="I137" s="105"/>
      <c r="J137" s="105"/>
      <c r="K137" s="43">
        <v>0</v>
      </c>
      <c r="L137" s="99">
        <v>0</v>
      </c>
      <c r="M137" s="105"/>
      <c r="N137" s="105"/>
      <c r="O137" s="15"/>
    </row>
    <row r="138" spans="1:15" s="16" customFormat="1" ht="17.149999999999999" customHeight="1" x14ac:dyDescent="0.35">
      <c r="A138" s="107"/>
      <c r="B138" s="110"/>
      <c r="C138" s="113"/>
      <c r="D138" s="116"/>
      <c r="E138" s="119"/>
      <c r="F138" s="17" t="s">
        <v>22</v>
      </c>
      <c r="G138" s="18">
        <v>840.6</v>
      </c>
      <c r="H138" s="103" t="str">
        <f>HYPERLINK("https://smesgodigital.gov.sg/web/solution/CISOAASCE_202517794Z20260928_HIB_2","S$2,802.00")</f>
        <v>S$2,802.00</v>
      </c>
      <c r="I138" s="100"/>
      <c r="J138" s="87"/>
      <c r="K138" s="21">
        <v>0</v>
      </c>
      <c r="L138" s="98">
        <v>0</v>
      </c>
      <c r="M138" s="100"/>
      <c r="N138" s="87"/>
      <c r="O138" s="15"/>
    </row>
    <row r="139" spans="1:15" s="16" customFormat="1" ht="17.149999999999999" customHeight="1" x14ac:dyDescent="0.35">
      <c r="A139" s="107"/>
      <c r="B139" s="110"/>
      <c r="C139" s="113"/>
      <c r="D139" s="116"/>
      <c r="E139" s="119"/>
      <c r="F139" s="17" t="s">
        <v>23</v>
      </c>
      <c r="G139" s="18">
        <v>1089</v>
      </c>
      <c r="H139" s="104" t="str">
        <f>HYPERLINK("https://smesgodigital.gov.sg/web/solution/CISOAASCE_202517794Z20260928_HIB_3","S$3,630.00")</f>
        <v>S$3,630.00</v>
      </c>
      <c r="I139" s="87"/>
      <c r="J139" s="100"/>
      <c r="K139" s="27">
        <v>0</v>
      </c>
      <c r="L139" s="97">
        <v>0</v>
      </c>
      <c r="M139" s="87"/>
      <c r="N139" s="100"/>
      <c r="O139" s="15"/>
    </row>
    <row r="140" spans="1:15" s="16" customFormat="1" ht="17.149999999999999" customHeight="1" x14ac:dyDescent="0.35">
      <c r="A140" s="107"/>
      <c r="B140" s="110"/>
      <c r="C140" s="113"/>
      <c r="D140" s="116"/>
      <c r="E140" s="119"/>
      <c r="F140" s="30" t="s">
        <v>24</v>
      </c>
      <c r="G140" s="18">
        <v>1834.2</v>
      </c>
      <c r="H140" s="103" t="str">
        <f>HYPERLINK("https://smesgodigital.gov.sg/web/solution/CISOAASCE_202517794Z20260928_HIB_4","S$6,114.00")</f>
        <v>S$6,114.00</v>
      </c>
      <c r="I140" s="100"/>
      <c r="J140" s="87"/>
      <c r="K140" s="21">
        <v>0</v>
      </c>
      <c r="L140" s="98">
        <v>0</v>
      </c>
      <c r="M140" s="100"/>
      <c r="N140" s="87"/>
      <c r="O140" s="15"/>
    </row>
    <row r="141" spans="1:15" s="16" customFormat="1" ht="17.149999999999999" customHeight="1" x14ac:dyDescent="0.35">
      <c r="A141" s="107"/>
      <c r="B141" s="110"/>
      <c r="C141" s="113"/>
      <c r="D141" s="116"/>
      <c r="E141" s="119"/>
      <c r="F141" s="30" t="s">
        <v>25</v>
      </c>
      <c r="G141" s="18">
        <v>3076.2</v>
      </c>
      <c r="H141" s="104" t="str">
        <f>HYPERLINK("https://smesgodigital.gov.sg/web/solution/CISOAASCE_202517794Z20260928_HIB_5","S$10,254.00")</f>
        <v>S$10,254.00</v>
      </c>
      <c r="I141" s="87"/>
      <c r="J141" s="100"/>
      <c r="K141" s="27">
        <v>0</v>
      </c>
      <c r="L141" s="97">
        <v>0</v>
      </c>
      <c r="M141" s="87"/>
      <c r="N141" s="100"/>
      <c r="O141" s="15"/>
    </row>
    <row r="142" spans="1:15" s="16" customFormat="1" ht="17.149999999999999" customHeight="1" x14ac:dyDescent="0.35">
      <c r="A142" s="107"/>
      <c r="B142" s="110"/>
      <c r="C142" s="113"/>
      <c r="D142" s="116"/>
      <c r="E142" s="119"/>
      <c r="F142" s="30" t="s">
        <v>26</v>
      </c>
      <c r="G142" s="18">
        <v>5560.2</v>
      </c>
      <c r="H142" s="103" t="str">
        <f>HYPERLINK("https://smesgodigital.gov.sg/web/solution/CISOAASCE_202517794Z20260928_HIB_6","S$18,534.00")</f>
        <v>S$18,534.00</v>
      </c>
      <c r="I142" s="100"/>
      <c r="J142" s="87"/>
      <c r="K142" s="21">
        <v>0</v>
      </c>
      <c r="L142" s="98">
        <v>0</v>
      </c>
      <c r="M142" s="100"/>
      <c r="N142" s="87"/>
      <c r="O142" s="15"/>
    </row>
    <row r="143" spans="1:15" s="16" customFormat="1" ht="17.149999999999999" customHeight="1" x14ac:dyDescent="0.35">
      <c r="A143" s="107"/>
      <c r="B143" s="110"/>
      <c r="C143" s="113"/>
      <c r="D143" s="116"/>
      <c r="E143" s="119"/>
      <c r="F143" s="30" t="s">
        <v>27</v>
      </c>
      <c r="G143" s="31"/>
      <c r="H143" s="28">
        <v>8280</v>
      </c>
      <c r="I143" s="87"/>
      <c r="J143" s="87"/>
      <c r="K143" s="27">
        <v>0</v>
      </c>
      <c r="L143" s="97">
        <v>0</v>
      </c>
      <c r="M143" s="87"/>
      <c r="N143" s="87"/>
      <c r="O143" s="15"/>
    </row>
    <row r="144" spans="1:15" s="16" customFormat="1" ht="17.149999999999999" customHeight="1" thickBot="1" x14ac:dyDescent="0.4">
      <c r="A144" s="108"/>
      <c r="B144" s="111"/>
      <c r="C144" s="114"/>
      <c r="D144" s="117"/>
      <c r="E144" s="120"/>
      <c r="F144" s="33" t="s">
        <v>28</v>
      </c>
      <c r="G144" s="34"/>
      <c r="H144" s="38">
        <v>8280</v>
      </c>
      <c r="I144" s="100"/>
      <c r="J144" s="100"/>
      <c r="K144" s="21">
        <v>0</v>
      </c>
      <c r="L144" s="98">
        <v>0</v>
      </c>
      <c r="M144" s="100"/>
      <c r="N144" s="100"/>
      <c r="O144" s="15"/>
    </row>
    <row r="145" spans="1:15" s="16" customFormat="1" ht="17.149999999999999" hidden="1" customHeight="1" x14ac:dyDescent="0.35">
      <c r="G145" s="91"/>
      <c r="H145" s="91"/>
      <c r="I145" s="91"/>
      <c r="J145" s="91"/>
      <c r="K145" s="91"/>
      <c r="L145" s="91"/>
      <c r="M145" s="91"/>
      <c r="N145" s="91"/>
      <c r="O145" s="15"/>
    </row>
    <row r="146" spans="1:15" s="16" customFormat="1" ht="17.149999999999999" hidden="1" customHeight="1" x14ac:dyDescent="0.35">
      <c r="O146" s="15"/>
    </row>
    <row r="147" spans="1:15" s="16" customFormat="1" ht="17.149999999999999" hidden="1" customHeight="1" x14ac:dyDescent="0.35">
      <c r="O147" s="15"/>
    </row>
    <row r="148" spans="1:15" s="16" customFormat="1" ht="17.149999999999999" hidden="1" customHeight="1" x14ac:dyDescent="0.35">
      <c r="A148" s="78"/>
      <c r="B148" s="79"/>
      <c r="C148" s="76"/>
      <c r="D148" s="77"/>
      <c r="E148" s="80"/>
      <c r="F148" s="81"/>
      <c r="G148" s="82"/>
      <c r="H148" s="49"/>
      <c r="I148" s="83"/>
      <c r="J148" s="49"/>
      <c r="K148" s="48"/>
      <c r="L148" s="49"/>
      <c r="M148" s="48"/>
      <c r="N148" s="49"/>
      <c r="O148" s="15"/>
    </row>
    <row r="149" spans="1:15" s="16" customFormat="1" ht="17.149999999999999" hidden="1" customHeight="1" x14ac:dyDescent="0.35">
      <c r="O149" s="15"/>
    </row>
    <row r="150" spans="1:15" s="16" customFormat="1" ht="17.149999999999999" hidden="1" customHeight="1" x14ac:dyDescent="0.35">
      <c r="O150" s="15"/>
    </row>
    <row r="151" spans="1:15" s="16" customFormat="1" ht="17.149999999999999" hidden="1" customHeight="1" x14ac:dyDescent="0.35">
      <c r="O151" s="15"/>
    </row>
  </sheetData>
  <sheetProtection algorithmName="SHA-512" hashValue="kGrKRedg628TEhBWhEZ5cmr2G7f6GjZU4gQH1/ommvgd56g9bKsqCGuWaIjz48qgqj30N68RqWKUrq4wkLm8Ow==" saltValue="/H7PHJz8XOmeUc+KG9QsWA==" spinCount="100000" sheet="1" autoFilter="0"/>
  <autoFilter ref="F8:F151" xr:uid="{821C449C-0699-4816-9539-CD0C43381371}"/>
  <mergeCells count="106">
    <mergeCell ref="A105:A112"/>
    <mergeCell ref="B105:B112"/>
    <mergeCell ref="C105:C112"/>
    <mergeCell ref="D105:D112"/>
    <mergeCell ref="E105:E112"/>
    <mergeCell ref="A121:A128"/>
    <mergeCell ref="B121:B128"/>
    <mergeCell ref="C121:C128"/>
    <mergeCell ref="D121:D128"/>
    <mergeCell ref="E121:E128"/>
    <mergeCell ref="A3:N4"/>
    <mergeCell ref="A41:A48"/>
    <mergeCell ref="C41:C48"/>
    <mergeCell ref="D41:D48"/>
    <mergeCell ref="E41:E48"/>
    <mergeCell ref="A17:A24"/>
    <mergeCell ref="B17:B24"/>
    <mergeCell ref="C17:C24"/>
    <mergeCell ref="D17:D24"/>
    <mergeCell ref="E17:E24"/>
    <mergeCell ref="A25:A32"/>
    <mergeCell ref="B25:B32"/>
    <mergeCell ref="C25:C32"/>
    <mergeCell ref="D25:D32"/>
    <mergeCell ref="E25:E32"/>
    <mergeCell ref="B41:B48"/>
    <mergeCell ref="E9:E16"/>
    <mergeCell ref="A33:A40"/>
    <mergeCell ref="A9:A16"/>
    <mergeCell ref="B9:B16"/>
    <mergeCell ref="C9:C16"/>
    <mergeCell ref="A5:A8"/>
    <mergeCell ref="B5:B8"/>
    <mergeCell ref="C5:C8"/>
    <mergeCell ref="E97:E104"/>
    <mergeCell ref="A65:A72"/>
    <mergeCell ref="C65:C72"/>
    <mergeCell ref="D65:D72"/>
    <mergeCell ref="E65:E72"/>
    <mergeCell ref="A73:A80"/>
    <mergeCell ref="B73:B80"/>
    <mergeCell ref="C73:C80"/>
    <mergeCell ref="D73:D80"/>
    <mergeCell ref="E73:E80"/>
    <mergeCell ref="D9:D16"/>
    <mergeCell ref="B33:B40"/>
    <mergeCell ref="C33:C40"/>
    <mergeCell ref="D33:D40"/>
    <mergeCell ref="A49:A56"/>
    <mergeCell ref="B49:B56"/>
    <mergeCell ref="C49:C56"/>
    <mergeCell ref="D49:D56"/>
    <mergeCell ref="A97:A104"/>
    <mergeCell ref="B97:B104"/>
    <mergeCell ref="C97:C104"/>
    <mergeCell ref="D97:D104"/>
    <mergeCell ref="D5:D8"/>
    <mergeCell ref="E5:E8"/>
    <mergeCell ref="F5:F7"/>
    <mergeCell ref="G5:J5"/>
    <mergeCell ref="I6:J6"/>
    <mergeCell ref="K6:L6"/>
    <mergeCell ref="M6:N6"/>
    <mergeCell ref="G7:G8"/>
    <mergeCell ref="H7:H8"/>
    <mergeCell ref="I7:I8"/>
    <mergeCell ref="J7:J8"/>
    <mergeCell ref="K7:K8"/>
    <mergeCell ref="L7:L8"/>
    <mergeCell ref="M7:M8"/>
    <mergeCell ref="G6:H6"/>
    <mergeCell ref="N7:N8"/>
    <mergeCell ref="K5:N5"/>
    <mergeCell ref="E33:E40"/>
    <mergeCell ref="A89:A96"/>
    <mergeCell ref="B89:B96"/>
    <mergeCell ref="C89:C96"/>
    <mergeCell ref="D89:D96"/>
    <mergeCell ref="E89:E96"/>
    <mergeCell ref="A57:A64"/>
    <mergeCell ref="C57:C64"/>
    <mergeCell ref="D57:D64"/>
    <mergeCell ref="E57:E64"/>
    <mergeCell ref="B65:B72"/>
    <mergeCell ref="E49:E56"/>
    <mergeCell ref="A81:A88"/>
    <mergeCell ref="B81:B88"/>
    <mergeCell ref="C81:C88"/>
    <mergeCell ref="D81:D88"/>
    <mergeCell ref="E81:E88"/>
    <mergeCell ref="B57:B64"/>
    <mergeCell ref="A137:A144"/>
    <mergeCell ref="B137:B144"/>
    <mergeCell ref="C137:C144"/>
    <mergeCell ref="D137:D144"/>
    <mergeCell ref="E137:E144"/>
    <mergeCell ref="A113:A120"/>
    <mergeCell ref="B113:B120"/>
    <mergeCell ref="C113:C120"/>
    <mergeCell ref="D113:D120"/>
    <mergeCell ref="E113:E120"/>
    <mergeCell ref="A129:A136"/>
    <mergeCell ref="B129:B136"/>
    <mergeCell ref="C129:C136"/>
    <mergeCell ref="D129:D136"/>
    <mergeCell ref="E129:E136"/>
  </mergeCells>
  <dataValidations count="2">
    <dataValidation type="custom" allowBlank="1" showErrorMessage="1" sqref="I71:I72 G148 G103:G104 I148 P23:P24 G71:G72 I103:I104 I47:I48 I111:I112 K71:N72 G47:G48 R23:R24 I15:I16 G15:G16 K15:N16 K63:N64 I63:I64 G63:G64 M33:M40 K129:K136 T23:W24 K23:N24 K79:N80 I79:I80 I23:I24 G23:G24 K103:N104 K111:N112 G111:G112 G127:G128 I95:I96 K148:N148 I31:I32 G31:G32 O25:O40 K31:N32 I39:I40 G39:G40 M137:N144 G95:G96 K95:N96 K119:N120 G119:G120 I119:I120 K127:N128 N135:N136 G55:G56 K33:K40 L39:L40 N39:N40 M129:M136 G135:J136 L135:L136 K47:N48 K55:N56 I55:I56 I127:I128 G143:G144 I137:J144 G79:G80 I87:I88 G87:G88 K87:N88" xr:uid="{57317026-774E-41AF-BBEC-6A8EF1C5BA4F}">
      <formula1>OR(ISNUMBER(G15),G15="na",G15="n.a.", G15="n.a", G15="not applicable")</formula1>
    </dataValidation>
    <dataValidation type="custom" allowBlank="1" showErrorMessage="1" sqref="K9:N14 G9:G14 I9:I14 G25:G30 K113:N118 K97:N102 I25:I30 K25:N30 G113:G118 G57:G62 G97:G102 I97:I102 I113:I118 I57:I62 K57:N62 P17:P22 R17:R22 K65:N70 I17:I22 G41:G46 I41:I46 G65:G70 I65:I70 T17:W22 K73:N78 G73:G78 I73:I78 K17:N22 G17:G22 K41:N46 K105:N110 G105:G110 I105:I110 I33:I38 G129:G134 G33:G38 K89:N94 G89:G94 I89:I94 K121:N126 G121:G126 I121:I126 N33:N38 G137:G142 L33:L38 L129:L134 N129:N134 G49:G54 I49:I54 K49:N54 I129:I134 K137:L144 K81:N86 G81:G86 I81:I86" xr:uid="{C8C867CB-390D-47F7-8B0B-1A4BBACAD9C6}">
      <formula1>OR(ISNUMBER(G9))</formula1>
    </dataValidation>
  </dataValidations>
  <hyperlinks>
    <hyperlink ref="D113" r:id="rId1" display="shusiang.chia@crowe.sg" xr:uid="{619FA36E-7333-46F9-813F-8F73142D15C6}"/>
    <hyperlink ref="D105" r:id="rId2" display="shusiang.chia@crowe.sg" xr:uid="{356DD011-DE6F-45E1-88F8-E14486303A9F}"/>
    <hyperlink ref="D121" r:id="rId3" display="shusiang.chia@crowe.sg" xr:uid="{B5296B1E-61BF-4A6B-B712-F9E33605F73C}"/>
    <hyperlink ref="D129" r:id="rId4" display="shusiang.chia@crowe.sg" xr:uid="{F67313B9-3FB8-425D-B8C8-9373C8F5EDEF}"/>
    <hyperlink ref="D137" r:id="rId5" display="shusiang.chia@crowe.sg" xr:uid="{9F16FEDE-2940-4E1C-A940-7CA0A0B1A2B1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CISOaaS (HIA &amp; HIMS)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Choon Onn KONG (CSA)</dc:creator>
  <cp:lastModifiedBy>Choon Onn KONG (CSA)</cp:lastModifiedBy>
  <dcterms:created xsi:type="dcterms:W3CDTF">2026-03-27T03:49:22Z</dcterms:created>
  <dcterms:modified xsi:type="dcterms:W3CDTF">2026-10-23T07:24:42Z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2026-03-27T07:13:10Z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9783e0c7-419b-4fc6-a83b-8471c18152e9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